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L:\04_Internet\social media\4_performance marketing (linkedin)\1-kampagnen\kampagne cooling\1-kühlkosten blitzrechner\Kampagne 2026\"/>
    </mc:Choice>
  </mc:AlternateContent>
  <xr:revisionPtr revIDLastSave="0" documentId="13_ncr:1_{D33472AC-7D90-4A5E-9499-6141855A022C}" xr6:coauthVersionLast="47" xr6:coauthVersionMax="47" xr10:uidLastSave="{00000000-0000-0000-0000-000000000000}"/>
  <workbookProtection workbookAlgorithmName="SHA-512" workbookHashValue="/UTav1MGqklcRrbjjwxCGsrAy7YH6cEnvsRt8KjkzaL1/PLbbK7Ac5q/s4RBKT6giBRiz/XcJJMeYNRwX0cX2g==" workbookSaltValue="o4IUFp2x7VQkCAheyFc9pQ==" workbookSpinCount="100000" lockStructure="1"/>
  <bookViews>
    <workbookView xWindow="-103" yWindow="-103" windowWidth="33120" windowHeight="18000" xr2:uid="{00000000-000D-0000-FFFF-FFFF00000000}"/>
  </bookViews>
  <sheets>
    <sheet name="Berechnung" sheetId="5" r:id="rId1"/>
    <sheet name="Do not change this Data" sheetId="7"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7" l="1"/>
  <c r="C70" i="7"/>
  <c r="C59" i="7"/>
  <c r="B137" i="7"/>
  <c r="B126" i="7"/>
  <c r="B127" i="7" s="1"/>
  <c r="B121" i="7"/>
  <c r="B118" i="7"/>
  <c r="B115" i="7"/>
  <c r="E97" i="7" s="1"/>
  <c r="E113" i="7" s="1"/>
  <c r="D98" i="7"/>
  <c r="D97" i="7"/>
  <c r="D96" i="7"/>
  <c r="C73" i="7" l="1"/>
  <c r="C78" i="7" s="1"/>
  <c r="C64" i="7"/>
  <c r="C67" i="7" s="1"/>
  <c r="E98" i="7"/>
  <c r="E118" i="7" s="1"/>
  <c r="E95" i="7"/>
  <c r="E96" i="7"/>
  <c r="C74" i="7" l="1"/>
  <c r="C86" i="7" s="1"/>
  <c r="C42" i="7"/>
  <c r="E108" i="7"/>
  <c r="B113" i="7"/>
  <c r="E103" i="7"/>
  <c r="C43" i="7" l="1"/>
  <c r="C87" i="7"/>
  <c r="C47" i="7" s="1"/>
  <c r="C46" i="7"/>
  <c r="C71" i="7" l="1"/>
  <c r="C75" i="7" s="1"/>
  <c r="C44" i="7" s="1"/>
  <c r="C45" i="7" s="1"/>
  <c r="C80" i="7"/>
  <c r="C79" i="7"/>
  <c r="C65" i="7"/>
  <c r="C68" i="7" s="1"/>
  <c r="C69" i="7" l="1"/>
  <c r="C90" i="7" s="1"/>
  <c r="C88" i="7"/>
  <c r="C48" i="7" s="1"/>
  <c r="C89" i="7"/>
  <c r="C49" i="7" s="1"/>
  <c r="C50" i="7" l="1"/>
  <c r="B107" i="7" s="1"/>
  <c r="A31" i="7"/>
  <c r="D31" i="7" l="1"/>
  <c r="E31" i="7" s="1"/>
  <c r="G31" i="7"/>
  <c r="B23" i="5" s="1"/>
  <c r="B31" i="7"/>
  <c r="C31" i="7" s="1"/>
  <c r="B14" i="5"/>
  <c r="E119" i="7"/>
  <c r="E120" i="7" s="1"/>
  <c r="E109" i="7"/>
  <c r="E110" i="7" s="1"/>
  <c r="B109" i="7"/>
  <c r="E114" i="7"/>
  <c r="E115" i="7" s="1"/>
  <c r="B108" i="7"/>
  <c r="B17" i="5" s="1"/>
  <c r="E104" i="7"/>
  <c r="E105" i="7" s="1"/>
  <c r="F23" i="5" l="1"/>
  <c r="B129" i="7"/>
  <c r="B134" i="7" s="1"/>
  <c r="B141" i="7" s="1"/>
  <c r="B19" i="5"/>
  <c r="F17" i="5" s="1"/>
  <c r="F16" i="5" s="1"/>
  <c r="B16" i="5"/>
  <c r="B110" i="7"/>
  <c r="E116" i="7"/>
  <c r="E121" i="7"/>
  <c r="E111" i="7"/>
  <c r="E106" i="7"/>
  <c r="B25" i="5" l="1"/>
  <c r="B21" i="5"/>
  <c r="B123" i="7"/>
  <c r="B124" i="7" s="1"/>
  <c r="B143" i="7" s="1"/>
  <c r="B14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Melanie Humer</author>
  </authors>
  <commentList>
    <comment ref="B31" authorId="0" shapeId="0" xr:uid="{D460F7AC-5A43-4618-BDE7-DE24539D969D}">
      <text>
        <r>
          <rPr>
            <b/>
            <sz val="9"/>
            <color indexed="81"/>
            <rFont val="Segoe UI"/>
            <family val="2"/>
          </rPr>
          <t>Melanie Humer:</t>
        </r>
        <r>
          <rPr>
            <sz val="9"/>
            <color indexed="81"/>
            <rFont val="Segoe UI"/>
            <family val="2"/>
          </rPr>
          <t xml:space="preserve">
vorher war diese Formel enthalten =WENN(A31&lt;=100;0;600)</t>
        </r>
      </text>
    </comment>
    <comment ref="D31" authorId="0" shapeId="0" xr:uid="{1BBCECC4-1E2A-414B-BCB2-81713A9808EC}">
      <text>
        <r>
          <rPr>
            <b/>
            <sz val="9"/>
            <color indexed="81"/>
            <rFont val="Segoe UI"/>
            <family val="2"/>
          </rPr>
          <t>Melanie Humer:</t>
        </r>
        <r>
          <rPr>
            <sz val="9"/>
            <color indexed="81"/>
            <rFont val="Segoe UI"/>
            <family val="2"/>
          </rPr>
          <t xml:space="preserve">
hier war vorher diese Formel =A31-100</t>
        </r>
      </text>
    </comment>
    <comment ref="G31" authorId="0" shapeId="0" xr:uid="{03CA1F47-7463-42D1-B27F-09C37AD617F6}">
      <text>
        <r>
          <rPr>
            <b/>
            <sz val="9"/>
            <color indexed="81"/>
            <rFont val="Segoe UI"/>
            <family val="2"/>
          </rPr>
          <t>Melanie Humer:</t>
        </r>
        <r>
          <rPr>
            <sz val="9"/>
            <color indexed="81"/>
            <rFont val="Segoe UI"/>
            <family val="2"/>
          </rPr>
          <t xml:space="preserve">
=(E31*B31)+(D31*D32)
vorher war diese Formel enthalten</t>
        </r>
      </text>
    </comment>
  </commentList>
</comments>
</file>

<file path=xl/sharedStrings.xml><?xml version="1.0" encoding="utf-8"?>
<sst xmlns="http://schemas.openxmlformats.org/spreadsheetml/2006/main" count="283" uniqueCount="174">
  <si>
    <r>
      <rPr>
        <b/>
        <sz val="11"/>
        <color theme="1" tint="0.499984740745262"/>
        <rFont val="Arial Nova"/>
        <family val="2"/>
      </rPr>
      <t xml:space="preserve">Befeuchtungsmenge: </t>
    </r>
    <r>
      <rPr>
        <sz val="11"/>
        <color theme="1" tint="0.499984740745262"/>
        <rFont val="Arial Nova"/>
        <family val="2"/>
      </rPr>
      <t xml:space="preserve">
</t>
    </r>
  </si>
  <si>
    <t>Je Grad Celsius mehr = +0,1g Befeuchtungsmenge</t>
  </si>
  <si>
    <t>[°C]</t>
  </si>
  <si>
    <t>[g]</t>
  </si>
  <si>
    <t>BUDGETBEDARF für MERLIN-ANLAGE</t>
  </si>
  <si>
    <t>Liter</t>
  </si>
  <si>
    <t>Multiplikator
bis 100 Liter</t>
  </si>
  <si>
    <t>Zusatzmulitplikatator auf mehr als 100 Liter</t>
  </si>
  <si>
    <t>Differenz auf 100 Liter</t>
  </si>
  <si>
    <t>Differenz zu Bedarf/Liter</t>
  </si>
  <si>
    <t>Betrag für Mulitplikator 100 Liter</t>
  </si>
  <si>
    <t>BUDGETBEDARF für Merlin-Anlage
(geschätzer Richtpreis, exkl. MwSt)</t>
  </si>
  <si>
    <t>bis 100l/h - 600€/l</t>
  </si>
  <si>
    <t>ab 100 l/h - jeder weitere Liter 200 €</t>
  </si>
  <si>
    <t>Energieverbrauch Wasseraufbereitung &amp; Pumpstation</t>
  </si>
  <si>
    <t>[W/l]</t>
  </si>
  <si>
    <t>Hallen LÄNGE</t>
  </si>
  <si>
    <t>[m]</t>
  </si>
  <si>
    <t>Eingabefeld bitte ausfüllen</t>
  </si>
  <si>
    <t>Hallen BREITE</t>
  </si>
  <si>
    <t>Hallen HÖHE</t>
  </si>
  <si>
    <t>H</t>
  </si>
  <si>
    <t>Wasserkosten</t>
  </si>
  <si>
    <t>[€/m³]</t>
  </si>
  <si>
    <t>Stromkosten</t>
  </si>
  <si>
    <t>[€/kW]</t>
  </si>
  <si>
    <t>Hallenvolumen</t>
  </si>
  <si>
    <t>V</t>
  </si>
  <si>
    <t>[m³]</t>
  </si>
  <si>
    <t>Aufstellhöhe (m.ü.N.N)</t>
  </si>
  <si>
    <t>∆T</t>
  </si>
  <si>
    <t xml:space="preserve">  4-9</t>
  </si>
  <si>
    <t>Feuchtegehalt Eintritt - IST Feuchte</t>
  </si>
  <si>
    <t>rf 1</t>
  </si>
  <si>
    <t>[%]</t>
  </si>
  <si>
    <t>Befeuchtungsmenge</t>
  </si>
  <si>
    <t>∆x</t>
  </si>
  <si>
    <t>[gr/kg]</t>
  </si>
  <si>
    <t>Frischluftanteil</t>
  </si>
  <si>
    <t>FA</t>
  </si>
  <si>
    <t xml:space="preserve">Frischluft - Feuchtegehalt </t>
  </si>
  <si>
    <t>x1 (T1)</t>
  </si>
  <si>
    <t>[g/kg]</t>
  </si>
  <si>
    <t>Feuchtegehalt nach Kühlen</t>
  </si>
  <si>
    <t>x2 (T2)</t>
  </si>
  <si>
    <t>rf 2</t>
  </si>
  <si>
    <t>Feuchtegehalt nach Kühlen (max. 95 % rF)</t>
  </si>
  <si>
    <t>Temperatur nach Kühlen</t>
  </si>
  <si>
    <t>T2</t>
  </si>
  <si>
    <t>Abkühlung</t>
  </si>
  <si>
    <t>[K]</t>
  </si>
  <si>
    <t>Wasserbedarf Kühlen</t>
  </si>
  <si>
    <t>PH</t>
  </si>
  <si>
    <t>[kg/h = l/h]</t>
  </si>
  <si>
    <t>Kühlleistung</t>
  </si>
  <si>
    <t>PK</t>
  </si>
  <si>
    <t>[kW]</t>
  </si>
  <si>
    <r>
      <t>Wasserbedarf mit merlin</t>
    </r>
    <r>
      <rPr>
        <sz val="10"/>
        <color theme="0"/>
        <rFont val="Calibri"/>
        <family val="2"/>
      </rPr>
      <t>®</t>
    </r>
  </si>
  <si>
    <r>
      <t>P</t>
    </r>
    <r>
      <rPr>
        <sz val="10"/>
        <color rgb="FF000000"/>
        <rFont val="Arial Nova"/>
        <family val="2"/>
      </rPr>
      <t>H</t>
    </r>
  </si>
  <si>
    <t>[kg/h=l/h]</t>
  </si>
  <si>
    <t>Reserve Befeuchterleistung</t>
  </si>
  <si>
    <t>Kühlen</t>
  </si>
  <si>
    <t>Gas- Luftdruck in Abhängigkeit der Aufstellungshöhe</t>
  </si>
  <si>
    <t>p(H)</t>
  </si>
  <si>
    <t>mbar</t>
  </si>
  <si>
    <t>Gas- Luftkonstante R trockene Luft</t>
  </si>
  <si>
    <r>
      <t>R</t>
    </r>
    <r>
      <rPr>
        <i/>
        <sz val="6"/>
        <color theme="0" tint="-0.499984740745262"/>
        <rFont val="HelveticaNeueLT W1G 55 Roman"/>
        <family val="2"/>
      </rPr>
      <t>G</t>
    </r>
  </si>
  <si>
    <t>[J/kg K]</t>
  </si>
  <si>
    <t>Gas- Luftkonstante R Dampf</t>
  </si>
  <si>
    <r>
      <t>R</t>
    </r>
    <r>
      <rPr>
        <i/>
        <sz val="6"/>
        <color theme="0" tint="-0.499984740745262"/>
        <rFont val="HelveticaNeueLT W1G 55 Roman"/>
        <family val="2"/>
      </rPr>
      <t>D</t>
    </r>
  </si>
  <si>
    <t>Gas- Luftdichte f(Aufstellungshöhe)</t>
  </si>
  <si>
    <r>
      <t>ρ</t>
    </r>
    <r>
      <rPr>
        <i/>
        <sz val="6"/>
        <color theme="0" tint="-0.499984740745262"/>
        <rFont val="HelveticaNeueLT W1G 55 Roman"/>
        <family val="2"/>
      </rPr>
      <t>G</t>
    </r>
    <r>
      <rPr>
        <i/>
        <sz val="10"/>
        <color theme="0" tint="-0.499984740745262"/>
        <rFont val="HelveticaNeueLT W1G 55 Roman"/>
        <family val="2"/>
      </rPr>
      <t>(T1)</t>
    </r>
  </si>
  <si>
    <t>[kg/m³]</t>
  </si>
  <si>
    <r>
      <t>ρ</t>
    </r>
    <r>
      <rPr>
        <i/>
        <sz val="6"/>
        <color theme="0" tint="-0.499984740745262"/>
        <rFont val="HelveticaNeueLT W1G 55 Roman"/>
        <family val="2"/>
      </rPr>
      <t>G</t>
    </r>
    <r>
      <rPr>
        <i/>
        <sz val="10"/>
        <color theme="0" tint="-0.499984740745262"/>
        <rFont val="HelveticaNeueLT W1G 55 Roman"/>
        <family val="2"/>
      </rPr>
      <t>(T2)</t>
    </r>
  </si>
  <si>
    <t>Masse der Förderluft</t>
  </si>
  <si>
    <r>
      <t>m</t>
    </r>
    <r>
      <rPr>
        <i/>
        <sz val="6"/>
        <color theme="0" tint="-0.499984740745262"/>
        <rFont val="HelveticaNeueLT W1G 55 Roman"/>
        <family val="2"/>
      </rPr>
      <t>L</t>
    </r>
    <r>
      <rPr>
        <i/>
        <sz val="10"/>
        <color theme="0" tint="-0.499984740745262"/>
        <rFont val="HelveticaNeueLT W1G 55 Roman"/>
        <family val="2"/>
      </rPr>
      <t>(T1)</t>
    </r>
  </si>
  <si>
    <t>[kg/h]</t>
  </si>
  <si>
    <r>
      <t>m</t>
    </r>
    <r>
      <rPr>
        <i/>
        <sz val="6"/>
        <color theme="0" tint="-0.499984740745262"/>
        <rFont val="HelveticaNeueLT W1G 55 Roman"/>
        <family val="2"/>
      </rPr>
      <t>L</t>
    </r>
    <r>
      <rPr>
        <i/>
        <sz val="10"/>
        <color theme="0" tint="-0.499984740745262"/>
        <rFont val="HelveticaNeueLT W1G 55 Roman"/>
        <family val="2"/>
      </rPr>
      <t>(T2)</t>
    </r>
  </si>
  <si>
    <t>Masse der Förderluft FS mit Korrekturfaktor</t>
  </si>
  <si>
    <t>Sättigungsdruck</t>
  </si>
  <si>
    <t>ps 1 (T1)</t>
  </si>
  <si>
    <t>[mbar]</t>
  </si>
  <si>
    <t>ps 2 (T2)</t>
  </si>
  <si>
    <t>Feuchtegehalt</t>
  </si>
  <si>
    <t>[kg/kg]</t>
  </si>
  <si>
    <t>Enthalpie</t>
  </si>
  <si>
    <t>h1 (T1)</t>
  </si>
  <si>
    <t>[KJ/kg]</t>
  </si>
  <si>
    <t>h2 (T2)</t>
  </si>
  <si>
    <t>Enthalpie Kühlen durch befeuchten</t>
  </si>
  <si>
    <t>h4</t>
  </si>
  <si>
    <t>Enthalpie Wasser</t>
  </si>
  <si>
    <t>h5</t>
  </si>
  <si>
    <t>Kühlen Abluft (T2)</t>
  </si>
  <si>
    <r>
      <t>P</t>
    </r>
    <r>
      <rPr>
        <i/>
        <sz val="10"/>
        <color theme="0" tint="-0.499984740745262"/>
        <rFont val="Arial Nova"/>
        <family val="2"/>
      </rPr>
      <t>H</t>
    </r>
  </si>
  <si>
    <r>
      <t>P</t>
    </r>
    <r>
      <rPr>
        <i/>
        <sz val="10"/>
        <color theme="0" tint="-0.499984740745262"/>
        <rFont val="Arial Nova"/>
        <family val="2"/>
      </rPr>
      <t>K</t>
    </r>
  </si>
  <si>
    <r>
      <t>P</t>
    </r>
    <r>
      <rPr>
        <i/>
        <sz val="8"/>
        <color theme="0" tint="-0.499984740745262"/>
        <rFont val="Arial Nova"/>
        <family val="2"/>
      </rPr>
      <t>H</t>
    </r>
  </si>
  <si>
    <t>Eingabefelder</t>
  </si>
  <si>
    <t>Laufzeit der Sprühzyklen</t>
  </si>
  <si>
    <t>Frühjahr / Auslastung / Stunde / %</t>
  </si>
  <si>
    <t>Laufzeit in h</t>
  </si>
  <si>
    <t>Sommer / Auslastung / Stunde / %</t>
  </si>
  <si>
    <t>Herbst / Auslastung / Stunde / %</t>
  </si>
  <si>
    <t>Winter / Auslastung / Stunde / %</t>
  </si>
  <si>
    <t>Stromkosten €/kwh</t>
  </si>
  <si>
    <t>Wasserkosten €/m³</t>
  </si>
  <si>
    <t xml:space="preserve">Auslastung - Literleistung - </t>
  </si>
  <si>
    <t>Abwasserkosten €/m³</t>
  </si>
  <si>
    <t>Stromverbrauch/ Anlage</t>
  </si>
  <si>
    <t>Salzkosten €/kg</t>
  </si>
  <si>
    <t>Frühjahr</t>
  </si>
  <si>
    <t>Rohwasserhärte [°dH]</t>
  </si>
  <si>
    <t>Stunden / Saison</t>
  </si>
  <si>
    <t>Verschnitthärte [°dH]</t>
  </si>
  <si>
    <t>Wasserverbrauch / Saison / Liter</t>
  </si>
  <si>
    <t>Wasserverbrauch / Saison / M³</t>
  </si>
  <si>
    <t>Berechnungsgrundlagen</t>
  </si>
  <si>
    <t>Stromverbrauch / Saison / kWh</t>
  </si>
  <si>
    <t>Sprühleistung  l / Std</t>
  </si>
  <si>
    <t>Sommer</t>
  </si>
  <si>
    <t>Wasserverbrauch / Jahr / Liter</t>
  </si>
  <si>
    <t>Motor Pumpstation / KW / Std ca. 30 % Ausl.</t>
  </si>
  <si>
    <t>Stromverbrauch Pumpe / kWh / Jahr</t>
  </si>
  <si>
    <t>Herbst</t>
  </si>
  <si>
    <t>Betriebsstunden / Jahr</t>
  </si>
  <si>
    <t>Tage / Jahr</t>
  </si>
  <si>
    <t>Stunden / Jahr</t>
  </si>
  <si>
    <t xml:space="preserve">Stromverbrauch Enthärtungsanlage kw/Jahr </t>
  </si>
  <si>
    <t>Winter</t>
  </si>
  <si>
    <t xml:space="preserve">Stromkosten Enthärtungsanlage / Jahr </t>
  </si>
  <si>
    <t xml:space="preserve">Stromverbrauch Osmose (1,5 kW/m³ Permeat)  kwh/Jahr </t>
  </si>
  <si>
    <t xml:space="preserve">Stromkosten Umkehrosmose / Jahr </t>
  </si>
  <si>
    <t xml:space="preserve">Stromverbrauch Pumpstation kw/Jahr </t>
  </si>
  <si>
    <t>Stromkosten Pumpstation / Jahr</t>
  </si>
  <si>
    <t>Wasser- + Abwasserkosten [EUR/m³]</t>
  </si>
  <si>
    <t>Stromkosten [EUR/kWh]</t>
  </si>
  <si>
    <t>Stromverbrauch Ventilatoren kw/Jahr</t>
  </si>
  <si>
    <t>Stromkosten Ventilatoren / Jahr</t>
  </si>
  <si>
    <t>Wasserverbrauch / m³/Jahr</t>
  </si>
  <si>
    <t xml:space="preserve">Wasserverbrauch Abwasser Enthärtungsanlage </t>
  </si>
  <si>
    <t>m³ / Jahr</t>
  </si>
  <si>
    <t>Wasserverbrauch Osmose / m³/Jahr</t>
  </si>
  <si>
    <t>(Konzentrat-Abwasser Osmose m³/Jahr)</t>
  </si>
  <si>
    <t>Wasserkosten / Jahr / EUR</t>
  </si>
  <si>
    <t>Salzverbrauch Enthärtungsanlage / kg/Jahr</t>
  </si>
  <si>
    <t xml:space="preserve">Kosten Salzverbrauch Enthärtung / Jahr </t>
  </si>
  <si>
    <t>Energiekosten / Jahr / EUR</t>
  </si>
  <si>
    <t>GESAMTKOSTEN / JAHR / EUR</t>
  </si>
  <si>
    <t>pro Jahr</t>
  </si>
  <si>
    <t>vs.</t>
  </si>
  <si>
    <t>Wasser-Jahresbedarf</t>
  </si>
  <si>
    <t>[l/a]</t>
  </si>
  <si>
    <t>Energieverbrauch</t>
  </si>
  <si>
    <t>[kW/a]</t>
  </si>
  <si>
    <t>Klimaanlage - Energiebedarf (1:3)</t>
  </si>
  <si>
    <r>
      <t>merlin</t>
    </r>
    <r>
      <rPr>
        <vertAlign val="superscript"/>
        <sz val="16"/>
        <color rgb="FF706F6F"/>
        <rFont val="HelveticaNeueLT Pro 53 Ex"/>
        <family val="2"/>
      </rPr>
      <t>®</t>
    </r>
    <r>
      <rPr>
        <sz val="16"/>
        <color rgb="FF706F6F"/>
        <rFont val="HelveticaNeueLT Pro 53 Ex"/>
        <family val="2"/>
      </rPr>
      <t xml:space="preserve"> adiabate Kühlung vs. konventionelle Klimaanlage mit Kältemittel</t>
    </r>
  </si>
  <si>
    <t>einmalig</t>
  </si>
  <si>
    <t>** Je nach Bauart ist die Investition um bis zu 700 % höher im Vergleich zu einer adiabaten Kühlung.</t>
  </si>
  <si>
    <t>Durchschnittspreis - bei Bedarf anpassen</t>
  </si>
  <si>
    <t>*Die bereitgestellten Informationen basieren auf Schätzwerten und dienen nur zur allgemeinen Orientierung. Es ist zu beachten, dass die Daten der Berechnung aufgrund regionaler und saisonaler Schwankungen variieren können. Diese Abweichungen können durch eine Reihe von Faktoren beeinflusst werden, einschließlich, aber nicht beschränkt auf, Isolierung, Fensterflächen, Sonneneinstrahlung, Wärmequellen wie Maschinen und weitere bauliche Besonderheiten. Für die errechneten Werte können wir aus diesem Grund weder eine Garantie übernehmen noch eine Beschaffenheitszusage abgeben.</t>
  </si>
  <si>
    <t>Die Merlin Technology GmbH kann daher keine Haftung für die tatsächliche Erreichbarkeit der vom Rechner ausgeworfenen Werte übernehmen. (Stand 27.05.2024)</t>
  </si>
  <si>
    <t>Kostenvergleich Arbeitsplatzkühlung*</t>
  </si>
  <si>
    <t>BASISDATEN</t>
  </si>
  <si>
    <t>GESAMT Wasserbedarf für Befeuchtung</t>
  </si>
  <si>
    <t xml:space="preserve">Aktuelle Hallentemperatur IST </t>
  </si>
  <si>
    <t>Eingabefeld bitte ausfüllen - Eingabe ohne Kommastelle gerundet; max. 40 °C</t>
  </si>
  <si>
    <t>Abkühlung am Arbeitsplatz ∆T</t>
  </si>
  <si>
    <r>
      <t>BETRIEBSKOSTEN merlin</t>
    </r>
    <r>
      <rPr>
        <vertAlign val="superscript"/>
        <sz val="14"/>
        <color theme="0"/>
        <rFont val="HelveticaNeueLT Pro 53 Ex"/>
        <family val="2"/>
      </rPr>
      <t>®</t>
    </r>
  </si>
  <si>
    <r>
      <t>KÜHLEN mit merlin</t>
    </r>
    <r>
      <rPr>
        <vertAlign val="superscript"/>
        <sz val="14"/>
        <color theme="0"/>
        <rFont val="HelveticaNeueLT Pro 53 Ex"/>
        <family val="2"/>
      </rPr>
      <t>®</t>
    </r>
  </si>
  <si>
    <r>
      <t>ERSPARNIS: Betriebskosten mit merlin</t>
    </r>
    <r>
      <rPr>
        <vertAlign val="superscript"/>
        <sz val="11"/>
        <color theme="0"/>
        <rFont val="HelveticaNeueLT Pro 53 Ex"/>
        <family val="2"/>
      </rPr>
      <t>®</t>
    </r>
    <r>
      <rPr>
        <sz val="11"/>
        <color theme="0"/>
        <rFont val="HelveticaNeueLT Pro 53 Ex"/>
        <family val="2"/>
      </rPr>
      <t xml:space="preserve"> bis zu</t>
    </r>
  </si>
  <si>
    <t>BETRIEBSKOSTEN 
konventionelle Klimaanlage</t>
  </si>
  <si>
    <t xml:space="preserve">INVESTMENT** 
konventionelle Klimaanlage </t>
  </si>
  <si>
    <t>GESATMERSPARNIS: Investment + Betriebskosten (für ein Jahr) 
mit merlin® bis zu</t>
  </si>
  <si>
    <r>
      <t>INVESTMENT merlin</t>
    </r>
    <r>
      <rPr>
        <vertAlign val="superscript"/>
        <sz val="16"/>
        <color theme="0"/>
        <rFont val="HelveticaNeueLT Pro 53 Ex"/>
        <family val="2"/>
      </rPr>
      <t>®</t>
    </r>
    <r>
      <rPr>
        <b/>
        <sz val="11"/>
        <color theme="0"/>
        <rFont val="Arial Nova"/>
        <family val="2"/>
      </rPr>
      <t xml:space="preserve"> Anlage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</si>
</sst>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 &quot;€&quot;"/>
    <numFmt numFmtId="165" formatCode="0.0"/>
    <numFmt numFmtId="166" formatCode="_-&quot;€&quot;\ * #,##0.00_-;\-&quot;€&quot;\ * #,##0.00_-;_-&quot;€&quot;\ * &quot;-&quot;??_-;_-@_-"/>
    <numFmt numFmtId="167" formatCode="_-* #,##0_-;\-* #,##0_-;_-* &quot;-&quot;??_-;_-@_-"/>
    <numFmt numFmtId="168" formatCode="_-* #,##0\ &quot;€&quot;_-;\-* #,##0\ &quot;€&quot;_-;_-* &quot;-&quot;??\ &quot;€&quot;_-;_-@_-"/>
  </numFmts>
  <fonts count="48" x14ac:knownFonts="1">
    <font>
      <sz val="11"/>
      <color theme="1"/>
      <name val="Calibri"/>
      <family val="2"/>
      <scheme val="minor"/>
    </font>
    <font>
      <sz val="11"/>
      <color theme="1"/>
      <name val="HelveticaNeueLT Pro 55 Roman"/>
      <family val="2"/>
    </font>
    <font>
      <sz val="16"/>
      <color rgb="FF706F6F"/>
      <name val="HelveticaNeueLT Pro 53 Ex"/>
      <family val="2"/>
    </font>
    <font>
      <sz val="22"/>
      <color rgb="FF1F2662"/>
      <name val="HelveticaNeueLT Pro 53 Ex"/>
      <family val="2"/>
    </font>
    <font>
      <sz val="11"/>
      <color theme="1"/>
      <name val="Calibri"/>
      <family val="2"/>
      <scheme val="minor"/>
    </font>
    <font>
      <sz val="11"/>
      <color theme="1" tint="0.499984740745262"/>
      <name val="Arial Nova"/>
      <family val="2"/>
    </font>
    <font>
      <b/>
      <sz val="11"/>
      <color theme="1" tint="0.499984740745262"/>
      <name val="Arial Nova"/>
      <family val="2"/>
    </font>
    <font>
      <sz val="11"/>
      <color theme="1" tint="0.499984740745262"/>
      <name val="Calibri"/>
      <family val="2"/>
      <scheme val="minor"/>
    </font>
    <font>
      <b/>
      <sz val="11"/>
      <color theme="1" tint="0.499984740745262"/>
      <name val="Calibri"/>
      <family val="2"/>
      <scheme val="minor"/>
    </font>
    <font>
      <sz val="10"/>
      <color theme="0" tint="-0.499984740745262"/>
      <name val="Arial Nova"/>
      <family val="2"/>
    </font>
    <font>
      <b/>
      <sz val="11"/>
      <color theme="0"/>
      <name val="Arial Nova"/>
      <family val="2"/>
    </font>
    <font>
      <sz val="11"/>
      <color indexed="8"/>
      <name val="HelveticaNeueLT W1G 55 Roman"/>
      <family val="2"/>
    </font>
    <font>
      <sz val="11"/>
      <color indexed="8"/>
      <name val="Arial Nova"/>
      <family val="2"/>
    </font>
    <font>
      <sz val="11"/>
      <color theme="0" tint="-0.499984740745262"/>
      <name val="HelveticaNeueLT W1G 55 Roman"/>
      <family val="2"/>
    </font>
    <font>
      <sz val="11"/>
      <color theme="0" tint="-0.499984740745262"/>
      <name val="Calibri"/>
      <family val="2"/>
      <scheme val="minor"/>
    </font>
    <font>
      <sz val="10"/>
      <color theme="0"/>
      <name val="Calibri"/>
      <family val="2"/>
    </font>
    <font>
      <sz val="10"/>
      <color rgb="FF000000"/>
      <name val="Arial Nova"/>
      <family val="2"/>
    </font>
    <font>
      <i/>
      <sz val="11"/>
      <color theme="0" tint="-0.499984740745262"/>
      <name val="HelveticaNeueLT W1G 55 Roman"/>
      <family val="2"/>
    </font>
    <font>
      <i/>
      <sz val="11"/>
      <color theme="0" tint="-0.499984740745262"/>
      <name val="Calibri"/>
      <family val="2"/>
      <scheme val="minor"/>
    </font>
    <font>
      <b/>
      <i/>
      <sz val="12"/>
      <color theme="0" tint="-0.499984740745262"/>
      <name val="HelveticaNeueLT W1G 55 Roman"/>
      <family val="2"/>
    </font>
    <font>
      <i/>
      <sz val="6"/>
      <color theme="0" tint="-0.499984740745262"/>
      <name val="HelveticaNeueLT W1G 55 Roman"/>
      <family val="2"/>
    </font>
    <font>
      <i/>
      <sz val="10"/>
      <color theme="0" tint="-0.499984740745262"/>
      <name val="HelveticaNeueLT W1G 55 Roman"/>
      <family val="2"/>
    </font>
    <font>
      <i/>
      <sz val="10"/>
      <color theme="0" tint="-0.499984740745262"/>
      <name val="Arial Nova"/>
      <family val="2"/>
    </font>
    <font>
      <i/>
      <sz val="11"/>
      <color theme="0" tint="-0.499984740745262"/>
      <name val="Arial Nova"/>
      <family val="2"/>
    </font>
    <font>
      <i/>
      <sz val="8"/>
      <color theme="0" tint="-0.499984740745262"/>
      <name val="Arial Nova"/>
      <family val="2"/>
    </font>
    <font>
      <sz val="10"/>
      <name val="Arial"/>
      <family val="2"/>
    </font>
    <font>
      <b/>
      <i/>
      <sz val="10"/>
      <color theme="0" tint="-0.499984740745262"/>
      <name val="HelveticaNeueLT Pro 55 Roman"/>
      <family val="2"/>
    </font>
    <font>
      <i/>
      <sz val="10"/>
      <color theme="0" tint="-0.499984740745262"/>
      <name val="HelveticaNeueLT Pro 55 Roman"/>
      <family val="2"/>
    </font>
    <font>
      <b/>
      <i/>
      <sz val="12"/>
      <color theme="0" tint="-0.499984740745262"/>
      <name val="HelveticaNeueLT Pro 55 Roman"/>
      <family val="2"/>
    </font>
    <font>
      <b/>
      <i/>
      <sz val="11"/>
      <color theme="0" tint="-0.499984740745262"/>
      <name val="HelveticaNeueLT Pro 55 Roman"/>
      <family val="2"/>
    </font>
    <font>
      <i/>
      <sz val="11"/>
      <color theme="0" tint="-0.499984740745262"/>
      <name val="HelveticaNeueLT Pro 55 Roman"/>
      <family val="2"/>
    </font>
    <font>
      <b/>
      <sz val="16"/>
      <color theme="1"/>
      <name val="Arial Nova"/>
      <family val="2"/>
    </font>
    <font>
      <b/>
      <sz val="10"/>
      <color theme="1"/>
      <name val="Arial Nova"/>
      <family val="2"/>
    </font>
    <font>
      <sz val="11"/>
      <color theme="1" tint="0.34998626667073579"/>
      <name val="Calibri"/>
      <family val="2"/>
      <scheme val="minor"/>
    </font>
    <font>
      <vertAlign val="superscript"/>
      <sz val="16"/>
      <color rgb="FF706F6F"/>
      <name val="HelveticaNeueLT Pro 53 Ex"/>
      <family val="2"/>
    </font>
    <font>
      <sz val="11"/>
      <name val="HelveticaNeueLT Pro 55 Roman"/>
      <family val="2"/>
    </font>
    <font>
      <sz val="9"/>
      <color rgb="FF706F6F"/>
      <name val="HelveticaNeueLT Pro 55 Roman"/>
      <family val="2"/>
    </font>
    <font>
      <b/>
      <sz val="11"/>
      <color rgb="FF1F2662"/>
      <name val="HelveticaNeueLT Pro 55 Roman"/>
      <family val="2"/>
    </font>
    <font>
      <sz val="11"/>
      <color theme="0"/>
      <name val="HelveticaNeueLT Pro 55 Roman"/>
      <family val="2"/>
    </font>
    <font>
      <sz val="11"/>
      <color theme="0"/>
      <name val="HelveticaNeueLT Pro 53 Ex"/>
      <family val="2"/>
    </font>
    <font>
      <b/>
      <sz val="12"/>
      <color theme="1"/>
      <name val="Arial Nova"/>
      <family val="2"/>
    </font>
    <font>
      <vertAlign val="superscript"/>
      <sz val="16"/>
      <color theme="0"/>
      <name val="HelveticaNeueLT Pro 53 Ex"/>
      <family val="2"/>
    </font>
    <font>
      <vertAlign val="superscript"/>
      <sz val="11"/>
      <color theme="0"/>
      <name val="HelveticaNeueLT Pro 53 Ex"/>
      <family val="2"/>
    </font>
    <font>
      <sz val="14"/>
      <color theme="0"/>
      <name val="HelveticaNeueLT Pro 53 Ex"/>
      <family val="2"/>
    </font>
    <font>
      <sz val="9"/>
      <color indexed="81"/>
      <name val="Segoe UI"/>
      <family val="2"/>
    </font>
    <font>
      <b/>
      <sz val="9"/>
      <color indexed="81"/>
      <name val="Segoe UI"/>
      <family val="2"/>
    </font>
    <font>
      <vertAlign val="superscript"/>
      <sz val="14"/>
      <color theme="0"/>
      <name val="HelveticaNeueLT Pro 53 Ex"/>
      <family val="2"/>
    </font>
    <font>
      <sz val="12"/>
      <color theme="0"/>
      <name val="HelveticaNeueLT Pro 53 Ex"/>
      <family val="2"/>
    </font>
  </fonts>
  <fills count="9">
    <fill>
      <patternFill patternType="none"/>
    </fill>
    <fill>
      <patternFill patternType="gray125"/>
    </fill>
    <fill>
      <patternFill patternType="solid">
        <fgColor rgb="FF1F2662"/>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rgb="FF008B4A"/>
        <bgColor indexed="64"/>
      </patternFill>
    </fill>
    <fill>
      <patternFill patternType="solid">
        <fgColor rgb="FFE1CD1C"/>
        <bgColor indexed="64"/>
      </patternFill>
    </fill>
    <fill>
      <patternFill patternType="solid">
        <fgColor rgb="FFFF0000"/>
        <bgColor indexed="64"/>
      </patternFill>
    </fill>
  </fills>
  <borders count="35">
    <border>
      <left/>
      <right/>
      <top/>
      <bottom/>
      <diagonal/>
    </border>
    <border>
      <left/>
      <right style="thin">
        <color rgb="FF706F6F"/>
      </right>
      <top/>
      <bottom style="thin">
        <color rgb="FF706F6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top style="thin">
        <color auto="1"/>
      </top>
      <bottom style="double">
        <color auto="1"/>
      </bottom>
      <diagonal/>
    </border>
    <border>
      <left/>
      <right/>
      <top style="thin">
        <color auto="1"/>
      </top>
      <bottom style="double">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bottom style="thin">
        <color indexed="64"/>
      </bottom>
      <diagonal/>
    </border>
    <border>
      <left/>
      <right/>
      <top/>
      <bottom style="thin">
        <color rgb="FF706F6F"/>
      </bottom>
      <diagonal/>
    </border>
    <border>
      <left style="thin">
        <color rgb="FF706F6F"/>
      </left>
      <right/>
      <top style="thin">
        <color rgb="FF706F6F"/>
      </top>
      <bottom style="thin">
        <color rgb="FF706F6F"/>
      </bottom>
      <diagonal/>
    </border>
    <border>
      <left/>
      <right style="thin">
        <color rgb="FF706F6F"/>
      </right>
      <top/>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25" fillId="0" borderId="0"/>
  </cellStyleXfs>
  <cellXfs count="146">
    <xf numFmtId="0" fontId="0" fillId="0" borderId="0" xfId="0"/>
    <xf numFmtId="0" fontId="6" fillId="0" borderId="2" xfId="0" applyFont="1" applyBorder="1" applyProtection="1">
      <protection hidden="1"/>
    </xf>
    <xf numFmtId="0" fontId="6" fillId="0" borderId="3" xfId="0" applyFont="1" applyBorder="1" applyProtection="1">
      <protection hidden="1"/>
    </xf>
    <xf numFmtId="0" fontId="6" fillId="0" borderId="4" xfId="0" applyFont="1" applyBorder="1" applyProtection="1">
      <protection hidden="1"/>
    </xf>
    <xf numFmtId="0" fontId="9" fillId="0" borderId="5" xfId="0" applyFont="1" applyBorder="1" applyProtection="1">
      <protection hidden="1"/>
    </xf>
    <xf numFmtId="0" fontId="9" fillId="3" borderId="15" xfId="0" applyFont="1" applyFill="1" applyBorder="1" applyProtection="1">
      <protection hidden="1"/>
    </xf>
    <xf numFmtId="0" fontId="9" fillId="3" borderId="8" xfId="0" applyFont="1" applyFill="1" applyBorder="1" applyProtection="1">
      <protection hidden="1"/>
    </xf>
    <xf numFmtId="0" fontId="12" fillId="0" borderId="0" xfId="0" applyFont="1" applyProtection="1">
      <protection hidden="1"/>
    </xf>
    <xf numFmtId="0" fontId="9" fillId="0" borderId="6" xfId="0" applyFont="1" applyBorder="1" applyProtection="1">
      <protection hidden="1"/>
    </xf>
    <xf numFmtId="0" fontId="9" fillId="0" borderId="7" xfId="0" applyFont="1" applyBorder="1" applyProtection="1">
      <protection hidden="1"/>
    </xf>
    <xf numFmtId="4" fontId="9" fillId="0" borderId="6" xfId="0" applyNumberFormat="1" applyFont="1" applyBorder="1" applyProtection="1">
      <protection hidden="1"/>
    </xf>
    <xf numFmtId="3" fontId="9" fillId="0" borderId="6" xfId="0" applyNumberFormat="1" applyFont="1" applyBorder="1" applyAlignment="1" applyProtection="1">
      <alignment horizontal="right" vertical="center" wrapText="1"/>
      <protection hidden="1"/>
    </xf>
    <xf numFmtId="165" fontId="9" fillId="0" borderId="6" xfId="0" applyNumberFormat="1" applyFont="1" applyBorder="1" applyProtection="1">
      <protection hidden="1"/>
    </xf>
    <xf numFmtId="0" fontId="23" fillId="2" borderId="11" xfId="0" applyFont="1" applyFill="1" applyBorder="1" applyProtection="1">
      <protection hidden="1"/>
    </xf>
    <xf numFmtId="0" fontId="26" fillId="0" borderId="6" xfId="3" applyFont="1" applyBorder="1" applyProtection="1">
      <protection hidden="1"/>
    </xf>
    <xf numFmtId="0" fontId="27" fillId="0" borderId="18" xfId="3" applyFont="1" applyBorder="1" applyProtection="1">
      <protection hidden="1"/>
    </xf>
    <xf numFmtId="0" fontId="27" fillId="0" borderId="0" xfId="3" applyFont="1" applyProtection="1">
      <protection hidden="1"/>
    </xf>
    <xf numFmtId="0" fontId="26" fillId="0" borderId="16" xfId="3" applyFont="1" applyBorder="1" applyProtection="1">
      <protection hidden="1"/>
    </xf>
    <xf numFmtId="0" fontId="26" fillId="0" borderId="6" xfId="3" applyFont="1" applyBorder="1" applyAlignment="1" applyProtection="1">
      <alignment horizontal="right"/>
      <protection hidden="1"/>
    </xf>
    <xf numFmtId="1" fontId="26" fillId="0" borderId="6" xfId="3" applyNumberFormat="1" applyFont="1" applyBorder="1" applyAlignment="1" applyProtection="1">
      <alignment horizontal="center"/>
      <protection hidden="1"/>
    </xf>
    <xf numFmtId="2" fontId="26" fillId="0" borderId="0" xfId="3" applyNumberFormat="1" applyFont="1" applyProtection="1">
      <protection hidden="1"/>
    </xf>
    <xf numFmtId="0" fontId="27" fillId="0" borderId="19" xfId="3" applyFont="1" applyBorder="1" applyProtection="1">
      <protection hidden="1"/>
    </xf>
    <xf numFmtId="0" fontId="28" fillId="0" borderId="20" xfId="3" applyFont="1" applyBorder="1" applyAlignment="1" applyProtection="1">
      <alignment horizontal="left"/>
      <protection hidden="1"/>
    </xf>
    <xf numFmtId="0" fontId="26" fillId="0" borderId="21" xfId="3" applyFont="1" applyBorder="1" applyAlignment="1" applyProtection="1">
      <alignment horizontal="left" wrapText="1"/>
      <protection hidden="1"/>
    </xf>
    <xf numFmtId="0" fontId="28" fillId="0" borderId="22" xfId="3" applyFont="1" applyBorder="1" applyAlignment="1" applyProtection="1">
      <alignment horizontal="left"/>
      <protection hidden="1"/>
    </xf>
    <xf numFmtId="0" fontId="27" fillId="0" borderId="23" xfId="3" applyFont="1" applyBorder="1" applyProtection="1">
      <protection hidden="1"/>
    </xf>
    <xf numFmtId="0" fontId="29" fillId="0" borderId="24" xfId="3" applyFont="1" applyBorder="1" applyProtection="1">
      <protection hidden="1"/>
    </xf>
    <xf numFmtId="0" fontId="30" fillId="0" borderId="25" xfId="3" applyFont="1" applyBorder="1" applyProtection="1">
      <protection hidden="1"/>
    </xf>
    <xf numFmtId="0" fontId="27" fillId="0" borderId="24" xfId="3" applyFont="1" applyBorder="1" applyProtection="1">
      <protection hidden="1"/>
    </xf>
    <xf numFmtId="4" fontId="27" fillId="0" borderId="26" xfId="3" applyNumberFormat="1" applyFont="1" applyBorder="1" applyProtection="1">
      <protection hidden="1"/>
    </xf>
    <xf numFmtId="0" fontId="26" fillId="0" borderId="24" xfId="3" applyFont="1" applyBorder="1" applyProtection="1">
      <protection hidden="1"/>
    </xf>
    <xf numFmtId="4" fontId="26" fillId="0" borderId="26" xfId="3" applyNumberFormat="1" applyFont="1" applyBorder="1" applyProtection="1">
      <protection hidden="1"/>
    </xf>
    <xf numFmtId="0" fontId="26" fillId="0" borderId="20" xfId="3" applyFont="1" applyBorder="1" applyAlignment="1" applyProtection="1">
      <alignment vertical="top"/>
      <protection hidden="1"/>
    </xf>
    <xf numFmtId="0" fontId="27" fillId="0" borderId="21" xfId="3" applyFont="1" applyBorder="1" applyProtection="1">
      <protection hidden="1"/>
    </xf>
    <xf numFmtId="0" fontId="26" fillId="0" borderId="22" xfId="3" applyFont="1" applyBorder="1" applyProtection="1">
      <protection hidden="1"/>
    </xf>
    <xf numFmtId="4" fontId="26" fillId="0" borderId="16" xfId="3" applyNumberFormat="1" applyFont="1" applyBorder="1" applyProtection="1">
      <protection hidden="1"/>
    </xf>
    <xf numFmtId="0" fontId="27" fillId="0" borderId="6" xfId="3" applyFont="1" applyBorder="1" applyProtection="1">
      <protection hidden="1"/>
    </xf>
    <xf numFmtId="4" fontId="27" fillId="0" borderId="6" xfId="3" applyNumberFormat="1" applyFont="1" applyBorder="1" applyProtection="1">
      <protection hidden="1"/>
    </xf>
    <xf numFmtId="0" fontId="29" fillId="0" borderId="20" xfId="3" applyFont="1" applyBorder="1" applyProtection="1">
      <protection hidden="1"/>
    </xf>
    <xf numFmtId="0" fontId="27" fillId="0" borderId="6" xfId="3" applyFont="1" applyBorder="1" applyAlignment="1" applyProtection="1">
      <alignment wrapText="1"/>
      <protection hidden="1"/>
    </xf>
    <xf numFmtId="0" fontId="27" fillId="0" borderId="26" xfId="3" applyFont="1" applyBorder="1" applyProtection="1">
      <protection hidden="1"/>
    </xf>
    <xf numFmtId="4" fontId="27" fillId="0" borderId="0" xfId="3" applyNumberFormat="1" applyFont="1" applyProtection="1">
      <protection hidden="1"/>
    </xf>
    <xf numFmtId="0" fontId="27" fillId="0" borderId="25" xfId="3" applyFont="1" applyBorder="1" applyProtection="1">
      <protection hidden="1"/>
    </xf>
    <xf numFmtId="0" fontId="26" fillId="0" borderId="27" xfId="3" applyFont="1" applyBorder="1" applyProtection="1">
      <protection hidden="1"/>
    </xf>
    <xf numFmtId="166" fontId="26" fillId="0" borderId="28" xfId="3" applyNumberFormat="1" applyFont="1" applyBorder="1" applyProtection="1">
      <protection hidden="1"/>
    </xf>
    <xf numFmtId="0" fontId="27" fillId="0" borderId="0" xfId="0" applyFont="1" applyProtection="1">
      <protection hidden="1"/>
    </xf>
    <xf numFmtId="0" fontId="27" fillId="0" borderId="24" xfId="3" applyFont="1" applyBorder="1" applyAlignment="1" applyProtection="1">
      <alignment horizontal="right"/>
      <protection hidden="1"/>
    </xf>
    <xf numFmtId="4" fontId="26" fillId="0" borderId="0" xfId="3" applyNumberFormat="1" applyFont="1" applyProtection="1">
      <protection hidden="1"/>
    </xf>
    <xf numFmtId="0" fontId="28" fillId="0" borderId="27" xfId="3" applyFont="1" applyBorder="1" applyProtection="1">
      <protection hidden="1"/>
    </xf>
    <xf numFmtId="4" fontId="28" fillId="0" borderId="28" xfId="3" applyNumberFormat="1" applyFont="1" applyBorder="1" applyProtection="1">
      <protection hidden="1"/>
    </xf>
    <xf numFmtId="0" fontId="28" fillId="0" borderId="24" xfId="3" applyFont="1" applyBorder="1" applyProtection="1">
      <protection hidden="1"/>
    </xf>
    <xf numFmtId="0" fontId="28" fillId="0" borderId="0" xfId="3" applyFont="1" applyProtection="1">
      <protection hidden="1"/>
    </xf>
    <xf numFmtId="0" fontId="28" fillId="0" borderId="29" xfId="3" applyFont="1" applyBorder="1" applyProtection="1">
      <protection hidden="1"/>
    </xf>
    <xf numFmtId="4" fontId="28" fillId="0" borderId="30" xfId="3" applyNumberFormat="1" applyFont="1" applyBorder="1" applyProtection="1">
      <protection hidden="1"/>
    </xf>
    <xf numFmtId="0" fontId="27" fillId="0" borderId="31" xfId="3" applyFont="1" applyBorder="1" applyProtection="1">
      <protection hidden="1"/>
    </xf>
    <xf numFmtId="0" fontId="9" fillId="0" borderId="0" xfId="0" applyFont="1" applyProtection="1">
      <protection hidden="1"/>
    </xf>
    <xf numFmtId="0" fontId="9" fillId="3" borderId="0" xfId="0" applyFont="1" applyFill="1" applyProtection="1">
      <protection hidden="1"/>
    </xf>
    <xf numFmtId="0" fontId="37" fillId="7" borderId="6" xfId="0" applyFont="1" applyFill="1" applyBorder="1" applyAlignment="1" applyProtection="1">
      <alignment horizontal="right" vertical="center"/>
      <protection locked="0"/>
    </xf>
    <xf numFmtId="0" fontId="3" fillId="0" borderId="0" xfId="0" applyFont="1" applyAlignment="1" applyProtection="1">
      <alignment horizontal="left" vertical="top"/>
      <protection hidden="1"/>
    </xf>
    <xf numFmtId="0" fontId="1" fillId="0" borderId="0" xfId="0" applyFont="1" applyAlignment="1" applyProtection="1">
      <alignment horizontal="left" vertical="top"/>
      <protection hidden="1"/>
    </xf>
    <xf numFmtId="0" fontId="1" fillId="0" borderId="0" xfId="0" applyFont="1" applyProtection="1">
      <protection hidden="1"/>
    </xf>
    <xf numFmtId="0" fontId="2" fillId="0" borderId="0" xfId="0" applyFont="1" applyAlignment="1" applyProtection="1">
      <alignment horizontal="left" vertical="top"/>
      <protection hidden="1"/>
    </xf>
    <xf numFmtId="0" fontId="2" fillId="0" borderId="0" xfId="0" applyFont="1" applyAlignment="1" applyProtection="1">
      <alignment horizontal="left" vertical="top"/>
      <protection hidden="1"/>
    </xf>
    <xf numFmtId="0" fontId="1" fillId="0" borderId="0" xfId="0" applyFont="1" applyAlignment="1" applyProtection="1">
      <alignment horizontal="left" vertical="top"/>
      <protection hidden="1"/>
    </xf>
    <xf numFmtId="0" fontId="43" fillId="2" borderId="0" xfId="0" applyFont="1" applyFill="1" applyAlignment="1" applyProtection="1">
      <alignment vertical="center" wrapText="1"/>
      <protection hidden="1"/>
    </xf>
    <xf numFmtId="0" fontId="0" fillId="0" borderId="0" xfId="0" applyProtection="1">
      <protection hidden="1"/>
    </xf>
    <xf numFmtId="0" fontId="35" fillId="0" borderId="6" xfId="0" applyFont="1" applyBorder="1" applyAlignment="1" applyProtection="1">
      <alignment horizontal="left" vertical="center"/>
      <protection hidden="1"/>
    </xf>
    <xf numFmtId="0" fontId="36" fillId="0" borderId="0" xfId="0" applyFont="1" applyProtection="1">
      <protection hidden="1"/>
    </xf>
    <xf numFmtId="0" fontId="35" fillId="0" borderId="33" xfId="0" applyFont="1" applyBorder="1" applyAlignment="1" applyProtection="1">
      <alignment horizontal="left" vertical="center"/>
      <protection hidden="1"/>
    </xf>
    <xf numFmtId="0" fontId="35" fillId="0" borderId="6" xfId="0" applyFont="1" applyBorder="1" applyAlignment="1" applyProtection="1">
      <alignment horizontal="left" vertical="center" wrapText="1"/>
      <protection hidden="1"/>
    </xf>
    <xf numFmtId="4" fontId="12" fillId="0" borderId="0" xfId="0" applyNumberFormat="1" applyFont="1" applyProtection="1">
      <protection hidden="1"/>
    </xf>
    <xf numFmtId="167" fontId="35" fillId="0" borderId="6" xfId="1" applyNumberFormat="1" applyFont="1" applyBorder="1" applyAlignment="1" applyProtection="1">
      <alignment horizontal="right" vertical="center"/>
      <protection hidden="1"/>
    </xf>
    <xf numFmtId="0" fontId="38" fillId="2" borderId="0" xfId="0" applyFont="1" applyFill="1" applyAlignment="1" applyProtection="1">
      <alignment vertical="center"/>
      <protection hidden="1"/>
    </xf>
    <xf numFmtId="165" fontId="38" fillId="2" borderId="0" xfId="0" applyNumberFormat="1" applyFont="1" applyFill="1" applyAlignment="1" applyProtection="1">
      <alignment horizontal="right"/>
      <protection hidden="1"/>
    </xf>
    <xf numFmtId="165" fontId="38" fillId="2" borderId="0" xfId="0" applyNumberFormat="1" applyFont="1" applyFill="1" applyAlignment="1" applyProtection="1">
      <alignment horizontal="left"/>
      <protection hidden="1"/>
    </xf>
    <xf numFmtId="0" fontId="17" fillId="0" borderId="0" xfId="0" applyFont="1" applyProtection="1">
      <protection hidden="1"/>
    </xf>
    <xf numFmtId="0" fontId="18" fillId="0" borderId="0" xfId="0" applyFont="1" applyProtection="1">
      <protection hidden="1"/>
    </xf>
    <xf numFmtId="168" fontId="39" fillId="2" borderId="0" xfId="2" applyNumberFormat="1" applyFont="1" applyFill="1" applyBorder="1" applyAlignment="1" applyProtection="1">
      <alignment horizontal="right" vertical="center" wrapText="1"/>
      <protection hidden="1"/>
    </xf>
    <xf numFmtId="0" fontId="39" fillId="2" borderId="34" xfId="0" applyFont="1" applyFill="1" applyBorder="1" applyAlignment="1" applyProtection="1">
      <alignment vertical="center" wrapText="1"/>
      <protection hidden="1"/>
    </xf>
    <xf numFmtId="0" fontId="40" fillId="0" borderId="0" xfId="0" applyFont="1" applyAlignment="1" applyProtection="1">
      <alignment horizontal="center"/>
      <protection hidden="1"/>
    </xf>
    <xf numFmtId="0" fontId="47" fillId="8" borderId="0" xfId="0" applyFont="1" applyFill="1" applyAlignment="1" applyProtection="1">
      <alignment vertical="center" wrapText="1"/>
      <protection hidden="1"/>
    </xf>
    <xf numFmtId="168" fontId="39" fillId="8" borderId="0" xfId="2" applyNumberFormat="1" applyFont="1" applyFill="1" applyBorder="1" applyAlignment="1" applyProtection="1">
      <alignment horizontal="right" vertical="center" wrapText="1"/>
      <protection hidden="1"/>
    </xf>
    <xf numFmtId="44" fontId="39" fillId="8" borderId="0" xfId="2" applyFont="1" applyFill="1" applyBorder="1" applyAlignment="1" applyProtection="1">
      <alignment vertical="center" wrapText="1"/>
      <protection hidden="1"/>
    </xf>
    <xf numFmtId="0" fontId="35" fillId="0" borderId="16" xfId="0" applyFont="1" applyBorder="1" applyAlignment="1" applyProtection="1">
      <alignment horizontal="left" vertical="center"/>
      <protection hidden="1"/>
    </xf>
    <xf numFmtId="167" fontId="35" fillId="0" borderId="16" xfId="1" applyNumberFormat="1" applyFont="1" applyBorder="1" applyAlignment="1" applyProtection="1">
      <alignment horizontal="right" vertical="center"/>
      <protection hidden="1"/>
    </xf>
    <xf numFmtId="0" fontId="32" fillId="0" borderId="0" xfId="0" applyFont="1" applyProtection="1">
      <protection hidden="1"/>
    </xf>
    <xf numFmtId="164" fontId="31" fillId="0" borderId="0" xfId="0" applyNumberFormat="1" applyFont="1" applyProtection="1">
      <protection hidden="1"/>
    </xf>
    <xf numFmtId="164" fontId="31" fillId="0" borderId="0" xfId="0" applyNumberFormat="1" applyFont="1" applyAlignment="1" applyProtection="1">
      <alignment horizontal="right"/>
      <protection hidden="1"/>
    </xf>
    <xf numFmtId="0" fontId="39" fillId="6" borderId="0" xfId="0" applyFont="1" applyFill="1" applyAlignment="1" applyProtection="1">
      <alignment vertical="center" wrapText="1"/>
      <protection hidden="1"/>
    </xf>
    <xf numFmtId="168" fontId="39" fillId="6" borderId="32" xfId="2" applyNumberFormat="1" applyFont="1" applyFill="1" applyBorder="1" applyAlignment="1" applyProtection="1">
      <alignment horizontal="right" vertical="center" wrapText="1"/>
      <protection hidden="1"/>
    </xf>
    <xf numFmtId="0" fontId="39" fillId="6" borderId="1" xfId="0" applyFont="1" applyFill="1" applyBorder="1" applyAlignment="1" applyProtection="1">
      <alignment vertical="center" wrapText="1"/>
      <protection hidden="1"/>
    </xf>
    <xf numFmtId="0" fontId="0" fillId="0" borderId="0" xfId="0" applyAlignment="1" applyProtection="1">
      <alignment horizontal="right"/>
      <protection hidden="1"/>
    </xf>
    <xf numFmtId="168" fontId="39" fillId="2" borderId="32" xfId="2" applyNumberFormat="1" applyFont="1" applyFill="1" applyBorder="1" applyAlignment="1" applyProtection="1">
      <alignment horizontal="right" vertical="center" wrapText="1"/>
      <protection hidden="1"/>
    </xf>
    <xf numFmtId="0" fontId="39" fillId="2" borderId="1" xfId="0" applyFont="1" applyFill="1" applyBorder="1" applyAlignment="1" applyProtection="1">
      <alignment vertical="center" wrapText="1"/>
      <protection hidden="1"/>
    </xf>
    <xf numFmtId="0" fontId="47" fillId="8" borderId="32" xfId="0" applyFont="1" applyFill="1" applyBorder="1" applyAlignment="1" applyProtection="1">
      <alignment vertical="center" wrapText="1"/>
      <protection hidden="1"/>
    </xf>
    <xf numFmtId="168" fontId="39" fillId="8" borderId="32" xfId="2" applyNumberFormat="1" applyFont="1" applyFill="1" applyBorder="1" applyAlignment="1" applyProtection="1">
      <alignment horizontal="right" vertical="center" wrapText="1"/>
      <protection hidden="1"/>
    </xf>
    <xf numFmtId="44" fontId="39" fillId="8" borderId="32" xfId="2" applyFont="1" applyFill="1" applyBorder="1" applyAlignment="1" applyProtection="1">
      <alignment vertical="center" wrapText="1"/>
      <protection hidden="1"/>
    </xf>
    <xf numFmtId="4" fontId="0" fillId="0" borderId="0" xfId="0" applyNumberFormat="1" applyProtection="1">
      <protection hidden="1"/>
    </xf>
    <xf numFmtId="168" fontId="39" fillId="6" borderId="0" xfId="0" applyNumberFormat="1" applyFont="1" applyFill="1" applyAlignment="1" applyProtection="1">
      <alignment vertical="center" wrapText="1"/>
      <protection hidden="1"/>
    </xf>
    <xf numFmtId="168" fontId="43" fillId="6" borderId="0" xfId="0" applyNumberFormat="1" applyFont="1" applyFill="1" applyAlignment="1" applyProtection="1">
      <alignment vertical="center" wrapText="1"/>
      <protection hidden="1"/>
    </xf>
    <xf numFmtId="0" fontId="33" fillId="0" borderId="0" xfId="0" applyFont="1" applyAlignment="1" applyProtection="1">
      <alignment vertical="top" wrapText="1"/>
      <protection hidden="1"/>
    </xf>
    <xf numFmtId="0" fontId="33" fillId="0" borderId="0" xfId="0" applyFont="1" applyProtection="1">
      <protection hidden="1"/>
    </xf>
    <xf numFmtId="0" fontId="33" fillId="0" borderId="0" xfId="0" applyFont="1" applyAlignment="1" applyProtection="1">
      <alignment horizontal="left" vertical="top" wrapText="1"/>
      <protection hidden="1"/>
    </xf>
    <xf numFmtId="0" fontId="5" fillId="0" borderId="2" xfId="0" applyFont="1" applyBorder="1" applyAlignment="1" applyProtection="1">
      <alignment wrapText="1"/>
      <protection hidden="1"/>
    </xf>
    <xf numFmtId="0" fontId="5" fillId="0" borderId="3" xfId="0" applyFont="1" applyBorder="1" applyProtection="1">
      <protection hidden="1"/>
    </xf>
    <xf numFmtId="0" fontId="5" fillId="0" borderId="3" xfId="0" applyFont="1" applyBorder="1" applyAlignment="1" applyProtection="1">
      <alignment wrapText="1"/>
      <protection hidden="1"/>
    </xf>
    <xf numFmtId="0" fontId="5" fillId="0" borderId="4" xfId="0" applyFont="1" applyBorder="1" applyProtection="1">
      <protection hidden="1"/>
    </xf>
    <xf numFmtId="164" fontId="0" fillId="0" borderId="0" xfId="0" applyNumberFormat="1" applyProtection="1">
      <protection hidden="1"/>
    </xf>
    <xf numFmtId="0" fontId="5" fillId="0" borderId="5" xfId="0" applyFont="1" applyBorder="1" applyProtection="1">
      <protection hidden="1"/>
    </xf>
    <xf numFmtId="0" fontId="5" fillId="0" borderId="6" xfId="0" applyFont="1" applyBorder="1" applyProtection="1">
      <protection hidden="1"/>
    </xf>
    <xf numFmtId="0" fontId="5" fillId="0" borderId="7" xfId="0" applyFont="1" applyBorder="1" applyProtection="1">
      <protection hidden="1"/>
    </xf>
    <xf numFmtId="0" fontId="5" fillId="0" borderId="8" xfId="0" applyFont="1" applyBorder="1" applyProtection="1">
      <protection hidden="1"/>
    </xf>
    <xf numFmtId="0" fontId="5" fillId="0" borderId="9" xfId="0" applyFont="1" applyBorder="1" applyProtection="1">
      <protection hidden="1"/>
    </xf>
    <xf numFmtId="0" fontId="5" fillId="0" borderId="10" xfId="0" applyFont="1" applyBorder="1" applyProtection="1">
      <protection hidden="1"/>
    </xf>
    <xf numFmtId="0" fontId="7" fillId="0" borderId="5" xfId="0" applyFont="1" applyBorder="1" applyProtection="1">
      <protection hidden="1"/>
    </xf>
    <xf numFmtId="0" fontId="7" fillId="0" borderId="6" xfId="0" applyFont="1" applyBorder="1" applyAlignment="1" applyProtection="1">
      <alignment wrapText="1"/>
      <protection hidden="1"/>
    </xf>
    <xf numFmtId="0" fontId="7" fillId="0" borderId="6" xfId="0" applyFont="1" applyBorder="1" applyProtection="1">
      <protection hidden="1"/>
    </xf>
    <xf numFmtId="0" fontId="8" fillId="0" borderId="7" xfId="0" applyFont="1" applyBorder="1" applyAlignment="1" applyProtection="1">
      <alignment wrapText="1"/>
      <protection hidden="1"/>
    </xf>
    <xf numFmtId="4" fontId="7" fillId="0" borderId="8" xfId="0" applyNumberFormat="1" applyFont="1" applyBorder="1" applyProtection="1">
      <protection hidden="1"/>
    </xf>
    <xf numFmtId="0" fontId="7" fillId="0" borderId="9" xfId="0" applyFont="1" applyBorder="1" applyProtection="1">
      <protection hidden="1"/>
    </xf>
    <xf numFmtId="2" fontId="7" fillId="0" borderId="9" xfId="0" applyNumberFormat="1" applyFont="1" applyBorder="1" applyProtection="1">
      <protection hidden="1"/>
    </xf>
    <xf numFmtId="164" fontId="8" fillId="0" borderId="10" xfId="0" applyNumberFormat="1" applyFont="1" applyBorder="1" applyProtection="1">
      <protection hidden="1"/>
    </xf>
    <xf numFmtId="0" fontId="7" fillId="0" borderId="0" xfId="0" applyFont="1" applyProtection="1">
      <protection hidden="1"/>
    </xf>
    <xf numFmtId="0" fontId="9" fillId="3" borderId="16" xfId="0" applyFont="1" applyFill="1" applyBorder="1" applyProtection="1">
      <protection hidden="1"/>
    </xf>
    <xf numFmtId="3" fontId="9" fillId="3" borderId="16" xfId="0" applyNumberFormat="1" applyFont="1" applyFill="1" applyBorder="1" applyProtection="1">
      <protection hidden="1"/>
    </xf>
    <xf numFmtId="0" fontId="9" fillId="3" borderId="17" xfId="0" applyFont="1" applyFill="1" applyBorder="1" applyProtection="1">
      <protection hidden="1"/>
    </xf>
    <xf numFmtId="0" fontId="13" fillId="3" borderId="0" xfId="0" applyFont="1" applyFill="1" applyProtection="1">
      <protection hidden="1"/>
    </xf>
    <xf numFmtId="0" fontId="14" fillId="3" borderId="0" xfId="0" applyFont="1" applyFill="1" applyProtection="1">
      <protection hidden="1"/>
    </xf>
    <xf numFmtId="0" fontId="9" fillId="3" borderId="9" xfId="0" applyFont="1" applyFill="1" applyBorder="1" applyProtection="1">
      <protection hidden="1"/>
    </xf>
    <xf numFmtId="0" fontId="9" fillId="3" borderId="10" xfId="0" applyFont="1" applyFill="1" applyBorder="1" applyProtection="1">
      <protection hidden="1"/>
    </xf>
    <xf numFmtId="0" fontId="13" fillId="0" borderId="0" xfId="0" applyFont="1" applyProtection="1">
      <protection hidden="1"/>
    </xf>
    <xf numFmtId="0" fontId="14" fillId="0" borderId="0" xfId="0" applyFont="1" applyProtection="1">
      <protection hidden="1"/>
    </xf>
    <xf numFmtId="0" fontId="9" fillId="0" borderId="7" xfId="0" applyFont="1" applyBorder="1" applyAlignment="1" applyProtection="1">
      <alignment vertical="center"/>
      <protection hidden="1"/>
    </xf>
    <xf numFmtId="0" fontId="13" fillId="0" borderId="0" xfId="0" applyFont="1" applyAlignment="1" applyProtection="1">
      <alignment horizontal="center" vertical="center" wrapText="1"/>
      <protection hidden="1"/>
    </xf>
    <xf numFmtId="0" fontId="11" fillId="0" borderId="0" xfId="0" applyFont="1" applyProtection="1">
      <protection hidden="1"/>
    </xf>
    <xf numFmtId="4" fontId="9" fillId="0" borderId="0" xfId="0" applyNumberFormat="1" applyFont="1" applyProtection="1">
      <protection hidden="1"/>
    </xf>
    <xf numFmtId="0" fontId="19" fillId="0" borderId="14" xfId="0" applyFont="1" applyBorder="1" applyProtection="1">
      <protection hidden="1"/>
    </xf>
    <xf numFmtId="0" fontId="19" fillId="0" borderId="0" xfId="0" applyFont="1" applyProtection="1">
      <protection hidden="1"/>
    </xf>
    <xf numFmtId="0" fontId="17" fillId="4" borderId="0" xfId="0" applyFont="1" applyFill="1" applyProtection="1">
      <protection hidden="1"/>
    </xf>
    <xf numFmtId="0" fontId="17" fillId="0" borderId="0" xfId="0" applyFont="1" applyAlignment="1" applyProtection="1">
      <alignment horizontal="center"/>
      <protection hidden="1"/>
    </xf>
    <xf numFmtId="0" fontId="23" fillId="2" borderId="12" xfId="0" applyFont="1" applyFill="1" applyBorder="1" applyProtection="1">
      <protection hidden="1"/>
    </xf>
    <xf numFmtId="4" fontId="23" fillId="2" borderId="12" xfId="0" applyNumberFormat="1" applyFont="1" applyFill="1" applyBorder="1" applyAlignment="1" applyProtection="1">
      <alignment horizontal="right"/>
      <protection hidden="1"/>
    </xf>
    <xf numFmtId="0" fontId="23" fillId="2" borderId="13" xfId="0" applyFont="1" applyFill="1" applyBorder="1" applyProtection="1">
      <protection hidden="1"/>
    </xf>
    <xf numFmtId="10" fontId="26" fillId="4" borderId="16" xfId="3" applyNumberFormat="1" applyFont="1" applyFill="1" applyBorder="1" applyProtection="1">
      <protection hidden="1"/>
    </xf>
    <xf numFmtId="10" fontId="26" fillId="5" borderId="6" xfId="3" applyNumberFormat="1" applyFont="1" applyFill="1" applyBorder="1" applyProtection="1">
      <protection hidden="1"/>
    </xf>
    <xf numFmtId="2" fontId="26" fillId="5" borderId="6" xfId="3" applyNumberFormat="1" applyFont="1" applyFill="1" applyBorder="1" applyProtection="1">
      <protection hidden="1"/>
    </xf>
  </cellXfs>
  <cellStyles count="4">
    <cellStyle name="Komma" xfId="1" builtinId="3"/>
    <cellStyle name="Standard" xfId="0" builtinId="0"/>
    <cellStyle name="Standard 3" xfId="3" xr:uid="{1066B4A7-EAF3-45ED-8620-ACF9B2084313}"/>
    <cellStyle name="Währung" xfId="2" builtinId="4"/>
  </cellStyles>
  <dxfs count="0"/>
  <tableStyles count="0" defaultTableStyle="TableStyleMedium2" defaultPivotStyle="PivotStyleLight16"/>
  <colors>
    <mruColors>
      <color rgb="FF706F6F"/>
      <color rgb="FFE1CD1C"/>
      <color rgb="FF1F2662"/>
      <color rgb="FF008B4A"/>
      <color rgb="FFFFFF9F"/>
      <color rgb="FFA8A8A7"/>
      <color rgb="FFD5D4E4"/>
      <color rgb="FFEBEBF3"/>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38100</xdr:colOff>
      <xdr:row>91</xdr:row>
      <xdr:rowOff>87630</xdr:rowOff>
    </xdr:from>
    <xdr:to>
      <xdr:col>3</xdr:col>
      <xdr:colOff>0</xdr:colOff>
      <xdr:row>92</xdr:row>
      <xdr:rowOff>142875</xdr:rowOff>
    </xdr:to>
    <xdr:cxnSp macro="">
      <xdr:nvCxnSpPr>
        <xdr:cNvPr id="2" name="Gerade Verbindung mit Pfeil 1">
          <a:extLst>
            <a:ext uri="{FF2B5EF4-FFF2-40B4-BE49-F238E27FC236}">
              <a16:creationId xmlns:a16="http://schemas.microsoft.com/office/drawing/2014/main" id="{9EFB2549-DDDD-4CA0-A47C-B3EEFC3475FE}"/>
            </a:ext>
          </a:extLst>
        </xdr:cNvPr>
        <xdr:cNvCxnSpPr/>
      </xdr:nvCxnSpPr>
      <xdr:spPr bwMode="auto">
        <a:xfrm flipH="1">
          <a:off x="3118757" y="15088144"/>
          <a:ext cx="2650672" cy="240302"/>
        </a:xfrm>
        <a:prstGeom prst="straightConnector1">
          <a:avLst/>
        </a:prstGeom>
        <a:solidFill>
          <a:srgbClr val="000000"/>
        </a:solidFill>
        <a:ln w="25400" cap="flat" cmpd="sng" algn="ctr">
          <a:solidFill>
            <a:schemeClr val="tx1"/>
          </a:solidFill>
          <a:prstDash val="solid"/>
          <a:round/>
          <a:headEnd type="none" w="med" len="med"/>
          <a:tailEnd type="arrow"/>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
  <sheetViews>
    <sheetView showGridLines="0" showRowColHeaders="0" tabSelected="1" showRuler="0" view="pageLayout" zoomScale="96" zoomScaleNormal="85" zoomScalePageLayoutView="96" workbookViewId="0">
      <selection activeCell="A25" sqref="A25"/>
    </sheetView>
  </sheetViews>
  <sheetFormatPr baseColWidth="10" defaultColWidth="11.3828125" defaultRowHeight="14.15" x14ac:dyDescent="0.35"/>
  <cols>
    <col min="1" max="1" width="50.23046875" style="60" customWidth="1"/>
    <col min="2" max="2" width="15.61328125" style="60" customWidth="1"/>
    <col min="3" max="3" width="12" style="60" customWidth="1"/>
    <col min="4" max="4" width="11.69140625" style="60" customWidth="1"/>
    <col min="5" max="5" width="47.23046875" style="60" customWidth="1"/>
    <col min="6" max="6" width="16.3828125" style="60" customWidth="1"/>
    <col min="7" max="7" width="12.3828125" style="60" customWidth="1"/>
    <col min="8" max="16384" width="11.3828125" style="60"/>
  </cols>
  <sheetData>
    <row r="1" spans="1:7" ht="27" x14ac:dyDescent="0.35">
      <c r="A1" s="58" t="s">
        <v>161</v>
      </c>
      <c r="B1" s="59"/>
      <c r="C1" s="59"/>
      <c r="D1" s="59"/>
      <c r="E1" s="59"/>
      <c r="F1" s="59"/>
      <c r="G1" s="59"/>
    </row>
    <row r="2" spans="1:7" ht="23.15" x14ac:dyDescent="0.35">
      <c r="A2" s="61" t="s">
        <v>155</v>
      </c>
      <c r="B2" s="59"/>
      <c r="C2" s="59"/>
      <c r="D2" s="59"/>
      <c r="E2" s="59"/>
      <c r="F2" s="59"/>
      <c r="G2" s="59"/>
    </row>
    <row r="3" spans="1:7" ht="19.3" customHeight="1" x14ac:dyDescent="0.35">
      <c r="A3" s="62"/>
      <c r="B3" s="63"/>
      <c r="C3" s="63"/>
      <c r="D3" s="63"/>
      <c r="E3" s="63"/>
      <c r="F3" s="63"/>
      <c r="G3" s="63"/>
    </row>
    <row r="4" spans="1:7" ht="25.75" customHeight="1" x14ac:dyDescent="0.4">
      <c r="A4" s="64" t="s">
        <v>162</v>
      </c>
      <c r="B4" s="64"/>
      <c r="C4" s="64"/>
      <c r="E4" s="65"/>
      <c r="F4" s="65"/>
      <c r="G4" s="65"/>
    </row>
    <row r="5" spans="1:7" ht="19.3" customHeight="1" x14ac:dyDescent="0.4">
      <c r="A5" s="66" t="s">
        <v>16</v>
      </c>
      <c r="B5" s="57">
        <v>15</v>
      </c>
      <c r="C5" s="66" t="s">
        <v>17</v>
      </c>
      <c r="D5" s="67" t="s">
        <v>18</v>
      </c>
      <c r="F5" s="65"/>
      <c r="G5" s="65"/>
    </row>
    <row r="6" spans="1:7" ht="19.3" customHeight="1" x14ac:dyDescent="0.4">
      <c r="A6" s="66" t="s">
        <v>19</v>
      </c>
      <c r="B6" s="57">
        <v>30</v>
      </c>
      <c r="C6" s="66" t="s">
        <v>17</v>
      </c>
      <c r="D6" s="67" t="s">
        <v>18</v>
      </c>
      <c r="F6" s="65"/>
      <c r="G6" s="65"/>
    </row>
    <row r="7" spans="1:7" ht="19.3" customHeight="1" x14ac:dyDescent="0.4">
      <c r="A7" s="68" t="s">
        <v>20</v>
      </c>
      <c r="B7" s="57">
        <v>10</v>
      </c>
      <c r="C7" s="66" t="s">
        <v>17</v>
      </c>
      <c r="D7" s="67" t="s">
        <v>18</v>
      </c>
      <c r="F7" s="65"/>
      <c r="G7" s="65"/>
    </row>
    <row r="8" spans="1:7" ht="19.3" customHeight="1" x14ac:dyDescent="0.4">
      <c r="A8" s="69" t="s">
        <v>164</v>
      </c>
      <c r="B8" s="57">
        <v>30</v>
      </c>
      <c r="C8" s="66" t="s">
        <v>2</v>
      </c>
      <c r="D8" s="67" t="s">
        <v>165</v>
      </c>
      <c r="F8" s="65"/>
      <c r="G8" s="65"/>
    </row>
    <row r="9" spans="1:7" ht="19.3" customHeight="1" x14ac:dyDescent="0.4">
      <c r="A9" s="66" t="s">
        <v>22</v>
      </c>
      <c r="B9" s="57">
        <v>5</v>
      </c>
      <c r="C9" s="66" t="s">
        <v>23</v>
      </c>
      <c r="D9" s="67" t="s">
        <v>158</v>
      </c>
      <c r="F9" s="65"/>
      <c r="G9" s="65"/>
    </row>
    <row r="10" spans="1:7" ht="19.3" customHeight="1" x14ac:dyDescent="0.4">
      <c r="A10" s="66" t="s">
        <v>24</v>
      </c>
      <c r="B10" s="57">
        <v>0.3</v>
      </c>
      <c r="C10" s="66" t="s">
        <v>25</v>
      </c>
      <c r="D10" s="67" t="s">
        <v>158</v>
      </c>
      <c r="F10" s="65"/>
      <c r="G10" s="65"/>
    </row>
    <row r="11" spans="1:7" ht="17.25" customHeight="1" x14ac:dyDescent="0.4">
      <c r="A11" s="7"/>
      <c r="B11" s="7"/>
      <c r="C11" s="70"/>
      <c r="D11" s="7"/>
      <c r="E11" s="65"/>
      <c r="F11" s="65"/>
      <c r="G11" s="65"/>
    </row>
    <row r="12" spans="1:7" ht="26.15" customHeight="1" x14ac:dyDescent="0.4">
      <c r="A12" s="64" t="s">
        <v>168</v>
      </c>
      <c r="B12" s="64"/>
      <c r="C12" s="64"/>
      <c r="E12" s="65"/>
      <c r="F12" s="65"/>
      <c r="G12" s="65"/>
    </row>
    <row r="13" spans="1:7" ht="19.75" customHeight="1" x14ac:dyDescent="0.4">
      <c r="A13" s="66" t="s">
        <v>166</v>
      </c>
      <c r="B13" s="71" t="s">
        <v>31</v>
      </c>
      <c r="C13" s="66" t="s">
        <v>2</v>
      </c>
      <c r="E13" s="65"/>
      <c r="F13" s="65"/>
      <c r="G13" s="65"/>
    </row>
    <row r="14" spans="1:7" ht="19.399999999999999" customHeight="1" x14ac:dyDescent="0.4">
      <c r="A14" s="72" t="s">
        <v>163</v>
      </c>
      <c r="B14" s="73">
        <f>'Do not change this Data'!C50*(1+'Do not change this Data'!C51%)</f>
        <v>21.341648978736234</v>
      </c>
      <c r="C14" s="74" t="s">
        <v>59</v>
      </c>
      <c r="F14" s="65"/>
      <c r="G14" s="65"/>
    </row>
    <row r="15" spans="1:7" ht="17.149999999999999" customHeight="1" x14ac:dyDescent="0.4">
      <c r="A15" s="75"/>
      <c r="B15" s="75"/>
      <c r="C15" s="75"/>
      <c r="D15" s="75"/>
      <c r="E15" s="76"/>
      <c r="F15" s="76"/>
      <c r="G15" s="76"/>
    </row>
    <row r="16" spans="1:7" ht="25.75" customHeight="1" x14ac:dyDescent="0.35">
      <c r="A16" s="64" t="s">
        <v>167</v>
      </c>
      <c r="B16" s="77">
        <f>B18*B10+B17/1000*B9</f>
        <v>421.04147513493172</v>
      </c>
      <c r="C16" s="78" t="s">
        <v>148</v>
      </c>
      <c r="D16" s="79" t="s">
        <v>149</v>
      </c>
      <c r="E16" s="80" t="s">
        <v>170</v>
      </c>
      <c r="F16" s="81">
        <f>F17*B10</f>
        <v>2144.4341113322098</v>
      </c>
      <c r="G16" s="82" t="s">
        <v>148</v>
      </c>
    </row>
    <row r="17" spans="1:7" x14ac:dyDescent="0.35">
      <c r="A17" s="66" t="s">
        <v>150</v>
      </c>
      <c r="B17" s="71">
        <f>'Do not change this Data'!B108</f>
        <v>29742.498076729677</v>
      </c>
      <c r="C17" s="66" t="s">
        <v>151</v>
      </c>
      <c r="E17" s="83" t="s">
        <v>154</v>
      </c>
      <c r="F17" s="84">
        <f>B19/3</f>
        <v>7148.1137044406996</v>
      </c>
      <c r="G17" s="83" t="s">
        <v>153</v>
      </c>
    </row>
    <row r="18" spans="1:7" x14ac:dyDescent="0.35">
      <c r="A18" s="66" t="s">
        <v>152</v>
      </c>
      <c r="B18" s="71">
        <v>907.76328250427775</v>
      </c>
      <c r="C18" s="66" t="s">
        <v>153</v>
      </c>
      <c r="E18" s="85"/>
      <c r="F18" s="85"/>
      <c r="G18" s="85"/>
    </row>
    <row r="19" spans="1:7" x14ac:dyDescent="0.35">
      <c r="A19" s="66" t="s">
        <v>54</v>
      </c>
      <c r="B19" s="71">
        <f>B17*721/1000</f>
        <v>21444.341113322098</v>
      </c>
      <c r="C19" s="66" t="s">
        <v>153</v>
      </c>
    </row>
    <row r="20" spans="1:7" ht="16.850000000000001" customHeight="1" x14ac:dyDescent="0.45">
      <c r="A20" s="85"/>
      <c r="B20" s="85"/>
      <c r="C20" s="86"/>
      <c r="D20" s="85"/>
      <c r="E20" s="85"/>
      <c r="F20" s="87"/>
      <c r="G20" s="85"/>
    </row>
    <row r="21" spans="1:7" ht="25.75" customHeight="1" x14ac:dyDescent="0.4">
      <c r="A21" s="88" t="s">
        <v>169</v>
      </c>
      <c r="B21" s="89">
        <f>F16-B16</f>
        <v>1723.3926361972781</v>
      </c>
      <c r="C21" s="90" t="s">
        <v>148</v>
      </c>
      <c r="E21" s="65"/>
      <c r="F21" s="91"/>
      <c r="G21" s="65"/>
    </row>
    <row r="22" spans="1:7" ht="16.75" customHeight="1" x14ac:dyDescent="0.4">
      <c r="A22" s="65"/>
      <c r="B22" s="65"/>
      <c r="C22" s="91"/>
      <c r="D22" s="65"/>
      <c r="E22" s="65"/>
      <c r="F22" s="91"/>
      <c r="G22" s="65"/>
    </row>
    <row r="23" spans="1:7" ht="25.75" customHeight="1" x14ac:dyDescent="0.35">
      <c r="A23" s="64" t="s">
        <v>173</v>
      </c>
      <c r="B23" s="92">
        <f>'Do not change this Data'!G31</f>
        <v>11640.899442947035</v>
      </c>
      <c r="C23" s="93" t="s">
        <v>156</v>
      </c>
      <c r="E23" s="94" t="s">
        <v>171</v>
      </c>
      <c r="F23" s="95">
        <f>B23*7</f>
        <v>81486.296100629246</v>
      </c>
      <c r="G23" s="96" t="s">
        <v>156</v>
      </c>
    </row>
    <row r="24" spans="1:7" ht="14.6" x14ac:dyDescent="0.4">
      <c r="A24" s="65"/>
      <c r="B24" s="97"/>
      <c r="C24" s="65"/>
      <c r="D24" s="65"/>
      <c r="E24" s="65"/>
      <c r="F24" s="65"/>
      <c r="G24" s="65"/>
    </row>
    <row r="25" spans="1:7" ht="43.3" customHeight="1" x14ac:dyDescent="0.35">
      <c r="A25" s="98" t="s">
        <v>172</v>
      </c>
      <c r="B25" s="99">
        <f>(F23+F16)-(B23+B16)</f>
        <v>71568.789293879498</v>
      </c>
      <c r="C25" s="99"/>
      <c r="D25" s="100"/>
      <c r="E25" s="100"/>
      <c r="F25" s="100"/>
      <c r="G25" s="100"/>
    </row>
    <row r="26" spans="1:7" ht="14.6" x14ac:dyDescent="0.4">
      <c r="A26" s="101"/>
      <c r="B26" s="101"/>
      <c r="C26" s="101"/>
      <c r="D26" s="101"/>
      <c r="E26" s="101"/>
      <c r="F26" s="101"/>
      <c r="G26" s="101"/>
    </row>
    <row r="27" spans="1:7" ht="14.6" x14ac:dyDescent="0.4">
      <c r="A27" s="101"/>
      <c r="B27" s="101"/>
      <c r="C27" s="101"/>
      <c r="D27" s="101"/>
      <c r="E27" s="101"/>
      <c r="F27" s="101"/>
      <c r="G27" s="101"/>
    </row>
    <row r="28" spans="1:7" ht="78" customHeight="1" x14ac:dyDescent="0.4">
      <c r="A28" s="102" t="s">
        <v>159</v>
      </c>
      <c r="B28" s="102"/>
      <c r="C28" s="102"/>
      <c r="D28" s="102"/>
      <c r="E28" s="102"/>
      <c r="F28" s="101"/>
      <c r="G28" s="101"/>
    </row>
    <row r="29" spans="1:7" ht="14.6" x14ac:dyDescent="0.4">
      <c r="A29" s="101" t="s">
        <v>160</v>
      </c>
      <c r="B29" s="101"/>
      <c r="C29" s="101"/>
      <c r="D29" s="101"/>
      <c r="E29" s="101"/>
      <c r="F29" s="101"/>
      <c r="G29" s="101"/>
    </row>
    <row r="31" spans="1:7" ht="14.6" x14ac:dyDescent="0.4">
      <c r="A31" s="101" t="s">
        <v>157</v>
      </c>
    </row>
  </sheetData>
  <sheetProtection algorithmName="SHA-512" hashValue="kdmvSEZxlxuyeK425FcI3nANN3lYP0CELL4kTZGkmy+E/0Ao8a8/zZBXAV24UYb0w2gEfXyOPkJPBuOL4oZRSw==" saltValue="dehT452pNOLuUBcfvnghUQ==" spinCount="100000" sheet="1" objects="1" scenarios="1"/>
  <mergeCells count="3">
    <mergeCell ref="A2:G2"/>
    <mergeCell ref="A1:G1"/>
    <mergeCell ref="A28:E28"/>
  </mergeCells>
  <pageMargins left="0.7" right="0.59166666666666667" top="0.88095238095238093" bottom="0.8571428571428571" header="0.3" footer="0.3"/>
  <pageSetup paperSize="9" scale="80" fitToWidth="0" fitToHeight="0" orientation="landscape" r:id="rId1"/>
  <headerFooter>
    <oddHeader>&amp;R&amp;G</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D68D-B25A-42B2-A09A-D33E03607E66}">
  <dimension ref="A1:J145"/>
  <sheetViews>
    <sheetView showGridLines="0" showRowColHeaders="0" topLeftCell="A3" workbookViewId="0">
      <selection activeCell="C30" sqref="C30"/>
    </sheetView>
  </sheetViews>
  <sheetFormatPr baseColWidth="10" defaultRowHeight="14.6" x14ac:dyDescent="0.4"/>
  <cols>
    <col min="1" max="1" width="24.69140625" style="65" customWidth="1"/>
    <col min="2" max="2" width="20.07421875" style="65" customWidth="1"/>
    <col min="3" max="3" width="25.84375" style="65" customWidth="1"/>
    <col min="4" max="4" width="7.84375" style="65" customWidth="1"/>
    <col min="5" max="5" width="11.07421875" style="65"/>
    <col min="6" max="6" width="7" style="65" customWidth="1"/>
    <col min="7" max="7" width="23.3828125" style="65" customWidth="1"/>
    <col min="8" max="8" width="21.53515625" style="65" customWidth="1"/>
    <col min="9" max="10" width="25.3046875" style="65" customWidth="1"/>
    <col min="11" max="16384" width="11.07421875" style="65"/>
  </cols>
  <sheetData>
    <row r="1" spans="1:10" ht="15" thickBot="1" x14ac:dyDescent="0.45"/>
    <row r="2" spans="1:10" ht="28.75" x14ac:dyDescent="0.4">
      <c r="A2" s="103" t="s">
        <v>0</v>
      </c>
      <c r="B2" s="104"/>
      <c r="C2" s="105" t="s">
        <v>1</v>
      </c>
      <c r="D2" s="106"/>
      <c r="I2" s="107"/>
      <c r="J2" s="107"/>
    </row>
    <row r="3" spans="1:10" x14ac:dyDescent="0.4">
      <c r="A3" s="108">
        <v>19</v>
      </c>
      <c r="B3" s="109" t="s">
        <v>2</v>
      </c>
      <c r="C3" s="109">
        <v>3.2</v>
      </c>
      <c r="D3" s="110" t="s">
        <v>3</v>
      </c>
    </row>
    <row r="4" spans="1:10" x14ac:dyDescent="0.4">
      <c r="A4" s="108">
        <v>20</v>
      </c>
      <c r="B4" s="109" t="s">
        <v>2</v>
      </c>
      <c r="C4" s="109">
        <v>3.3</v>
      </c>
      <c r="D4" s="110" t="s">
        <v>3</v>
      </c>
    </row>
    <row r="5" spans="1:10" x14ac:dyDescent="0.4">
      <c r="A5" s="108">
        <v>21</v>
      </c>
      <c r="B5" s="109" t="s">
        <v>2</v>
      </c>
      <c r="C5" s="109">
        <v>3.4</v>
      </c>
      <c r="D5" s="110" t="s">
        <v>3</v>
      </c>
    </row>
    <row r="6" spans="1:10" x14ac:dyDescent="0.4">
      <c r="A6" s="108">
        <v>22</v>
      </c>
      <c r="B6" s="109" t="s">
        <v>2</v>
      </c>
      <c r="C6" s="109">
        <v>3.5</v>
      </c>
      <c r="D6" s="110" t="s">
        <v>3</v>
      </c>
    </row>
    <row r="7" spans="1:10" x14ac:dyDescent="0.4">
      <c r="A7" s="108">
        <v>23</v>
      </c>
      <c r="B7" s="109" t="s">
        <v>2</v>
      </c>
      <c r="C7" s="109">
        <v>3.6</v>
      </c>
      <c r="D7" s="110" t="s">
        <v>3</v>
      </c>
    </row>
    <row r="8" spans="1:10" x14ac:dyDescent="0.4">
      <c r="A8" s="108">
        <v>24</v>
      </c>
      <c r="B8" s="109" t="s">
        <v>2</v>
      </c>
      <c r="C8" s="109">
        <v>3.7</v>
      </c>
      <c r="D8" s="110" t="s">
        <v>3</v>
      </c>
    </row>
    <row r="9" spans="1:10" x14ac:dyDescent="0.4">
      <c r="A9" s="108">
        <v>25</v>
      </c>
      <c r="B9" s="109" t="s">
        <v>2</v>
      </c>
      <c r="C9" s="109">
        <v>3.8</v>
      </c>
      <c r="D9" s="110" t="s">
        <v>3</v>
      </c>
    </row>
    <row r="10" spans="1:10" x14ac:dyDescent="0.4">
      <c r="A10" s="108">
        <v>26</v>
      </c>
      <c r="B10" s="109" t="s">
        <v>2</v>
      </c>
      <c r="C10" s="109">
        <v>3.9</v>
      </c>
      <c r="D10" s="110" t="s">
        <v>3</v>
      </c>
    </row>
    <row r="11" spans="1:10" x14ac:dyDescent="0.4">
      <c r="A11" s="108">
        <v>27</v>
      </c>
      <c r="B11" s="109" t="s">
        <v>2</v>
      </c>
      <c r="C11" s="109">
        <v>4</v>
      </c>
      <c r="D11" s="110" t="s">
        <v>3</v>
      </c>
    </row>
    <row r="12" spans="1:10" x14ac:dyDescent="0.4">
      <c r="A12" s="108">
        <v>28</v>
      </c>
      <c r="B12" s="109" t="s">
        <v>2</v>
      </c>
      <c r="C12" s="109">
        <v>4.0999999999999996</v>
      </c>
      <c r="D12" s="110" t="s">
        <v>3</v>
      </c>
    </row>
    <row r="13" spans="1:10" x14ac:dyDescent="0.4">
      <c r="A13" s="108">
        <v>29</v>
      </c>
      <c r="B13" s="109" t="s">
        <v>2</v>
      </c>
      <c r="C13" s="109">
        <v>4.2</v>
      </c>
      <c r="D13" s="110" t="s">
        <v>3</v>
      </c>
    </row>
    <row r="14" spans="1:10" x14ac:dyDescent="0.4">
      <c r="A14" s="108">
        <v>30</v>
      </c>
      <c r="B14" s="109" t="s">
        <v>2</v>
      </c>
      <c r="C14" s="109">
        <v>4.3</v>
      </c>
      <c r="D14" s="110" t="s">
        <v>3</v>
      </c>
    </row>
    <row r="15" spans="1:10" x14ac:dyDescent="0.4">
      <c r="A15" s="108">
        <v>31</v>
      </c>
      <c r="B15" s="109" t="s">
        <v>2</v>
      </c>
      <c r="C15" s="109">
        <v>4.4000000000000004</v>
      </c>
      <c r="D15" s="110" t="s">
        <v>3</v>
      </c>
    </row>
    <row r="16" spans="1:10" x14ac:dyDescent="0.4">
      <c r="A16" s="108">
        <v>32</v>
      </c>
      <c r="B16" s="109" t="s">
        <v>2</v>
      </c>
      <c r="C16" s="109">
        <v>4.5</v>
      </c>
      <c r="D16" s="110" t="s">
        <v>3</v>
      </c>
    </row>
    <row r="17" spans="1:7" x14ac:dyDescent="0.4">
      <c r="A17" s="108">
        <v>33</v>
      </c>
      <c r="B17" s="109" t="s">
        <v>2</v>
      </c>
      <c r="C17" s="109">
        <v>4.5999999999999996</v>
      </c>
      <c r="D17" s="110" t="s">
        <v>3</v>
      </c>
    </row>
    <row r="18" spans="1:7" x14ac:dyDescent="0.4">
      <c r="A18" s="108">
        <v>34</v>
      </c>
      <c r="B18" s="109" t="s">
        <v>2</v>
      </c>
      <c r="C18" s="109">
        <v>4.7</v>
      </c>
      <c r="D18" s="110" t="s">
        <v>3</v>
      </c>
    </row>
    <row r="19" spans="1:7" x14ac:dyDescent="0.4">
      <c r="A19" s="108">
        <v>35</v>
      </c>
      <c r="B19" s="109" t="s">
        <v>2</v>
      </c>
      <c r="C19" s="109">
        <v>4.8</v>
      </c>
      <c r="D19" s="110" t="s">
        <v>3</v>
      </c>
    </row>
    <row r="20" spans="1:7" x14ac:dyDescent="0.4">
      <c r="A20" s="108">
        <v>36</v>
      </c>
      <c r="B20" s="109" t="s">
        <v>2</v>
      </c>
      <c r="C20" s="109">
        <v>4.9000000000000004</v>
      </c>
      <c r="D20" s="110" t="s">
        <v>3</v>
      </c>
    </row>
    <row r="21" spans="1:7" x14ac:dyDescent="0.4">
      <c r="A21" s="108">
        <v>37</v>
      </c>
      <c r="B21" s="109" t="s">
        <v>2</v>
      </c>
      <c r="C21" s="109">
        <v>5</v>
      </c>
      <c r="D21" s="110" t="s">
        <v>3</v>
      </c>
    </row>
    <row r="22" spans="1:7" x14ac:dyDescent="0.4">
      <c r="A22" s="108">
        <v>38</v>
      </c>
      <c r="B22" s="109" t="s">
        <v>2</v>
      </c>
      <c r="C22" s="109">
        <v>5.0999999999999996</v>
      </c>
      <c r="D22" s="110" t="s">
        <v>3</v>
      </c>
    </row>
    <row r="23" spans="1:7" x14ac:dyDescent="0.4">
      <c r="A23" s="108">
        <v>39</v>
      </c>
      <c r="B23" s="109" t="s">
        <v>2</v>
      </c>
      <c r="C23" s="109">
        <v>5.2</v>
      </c>
      <c r="D23" s="110" t="s">
        <v>3</v>
      </c>
    </row>
    <row r="24" spans="1:7" ht="15" thickBot="1" x14ac:dyDescent="0.45">
      <c r="A24" s="111">
        <v>40</v>
      </c>
      <c r="B24" s="112" t="s">
        <v>2</v>
      </c>
      <c r="C24" s="112">
        <v>5.3</v>
      </c>
      <c r="D24" s="113" t="s">
        <v>3</v>
      </c>
    </row>
    <row r="28" spans="1:7" ht="15" thickBot="1" x14ac:dyDescent="0.45"/>
    <row r="29" spans="1:7" x14ac:dyDescent="0.4">
      <c r="A29" s="1" t="s">
        <v>4</v>
      </c>
      <c r="B29" s="2"/>
      <c r="C29" s="2"/>
      <c r="D29" s="2"/>
      <c r="E29" s="2"/>
      <c r="F29" s="2"/>
      <c r="G29" s="3"/>
    </row>
    <row r="30" spans="1:7" ht="58.3" x14ac:dyDescent="0.4">
      <c r="A30" s="114" t="s">
        <v>5</v>
      </c>
      <c r="B30" s="115" t="s">
        <v>6</v>
      </c>
      <c r="C30" s="115" t="s">
        <v>7</v>
      </c>
      <c r="D30" s="116" t="s">
        <v>8</v>
      </c>
      <c r="E30" s="116" t="s">
        <v>9</v>
      </c>
      <c r="F30" s="116" t="s">
        <v>10</v>
      </c>
      <c r="G30" s="117" t="s">
        <v>11</v>
      </c>
    </row>
    <row r="31" spans="1:7" ht="15" thickBot="1" x14ac:dyDescent="0.45">
      <c r="A31" s="118">
        <f>C90</f>
        <v>19.401499071578392</v>
      </c>
      <c r="B31" s="119">
        <f>IF(A31&lt;=100,A31*600,0)</f>
        <v>11640.899442947035</v>
      </c>
      <c r="C31" s="119">
        <f>IF(B31&gt;=100,0,200)</f>
        <v>0</v>
      </c>
      <c r="D31" s="120">
        <f>IF(A31&gt;100,A31-100,0)</f>
        <v>0</v>
      </c>
      <c r="E31" s="120">
        <f>A31-D31</f>
        <v>19.401499071578392</v>
      </c>
      <c r="F31" s="119"/>
      <c r="G31" s="121">
        <f>IF(A31&lt;=100,A31*600,100*600+(A31-100)*200)</f>
        <v>11640.899442947035</v>
      </c>
    </row>
    <row r="32" spans="1:7" x14ac:dyDescent="0.4">
      <c r="A32" s="122" t="s">
        <v>12</v>
      </c>
      <c r="B32" s="122"/>
      <c r="C32" s="122"/>
      <c r="D32" s="122">
        <v>200</v>
      </c>
      <c r="E32" s="122"/>
      <c r="F32" s="122"/>
      <c r="G32" s="122"/>
    </row>
    <row r="33" spans="1:8" x14ac:dyDescent="0.4">
      <c r="A33" s="122" t="s">
        <v>13</v>
      </c>
      <c r="B33" s="122"/>
      <c r="C33" s="122"/>
      <c r="D33" s="122"/>
      <c r="E33" s="122"/>
      <c r="F33" s="122"/>
      <c r="G33" s="122"/>
    </row>
    <row r="34" spans="1:8" x14ac:dyDescent="0.4">
      <c r="A34" s="122"/>
      <c r="B34" s="122"/>
      <c r="C34" s="122"/>
      <c r="D34" s="122"/>
      <c r="E34" s="122"/>
      <c r="F34" s="122"/>
      <c r="G34" s="122"/>
    </row>
    <row r="35" spans="1:8" s="60" customFormat="1" x14ac:dyDescent="0.4">
      <c r="A35" s="5" t="s">
        <v>26</v>
      </c>
      <c r="B35" s="123" t="s">
        <v>27</v>
      </c>
      <c r="C35" s="124">
        <f>Berechnung!B5*Berechnung!B6*Berechnung!B7</f>
        <v>4500</v>
      </c>
      <c r="D35" s="125" t="s">
        <v>28</v>
      </c>
      <c r="E35" s="126"/>
      <c r="F35" s="127"/>
      <c r="G35" s="127"/>
      <c r="H35" s="127"/>
    </row>
    <row r="36" spans="1:8" s="60" customFormat="1" ht="15" thickBot="1" x14ac:dyDescent="0.45">
      <c r="A36" s="6" t="s">
        <v>29</v>
      </c>
      <c r="B36" s="128" t="s">
        <v>21</v>
      </c>
      <c r="C36" s="128">
        <v>500</v>
      </c>
      <c r="D36" s="129" t="s">
        <v>17</v>
      </c>
      <c r="E36" s="126"/>
      <c r="F36" s="127"/>
      <c r="G36" s="127"/>
      <c r="H36" s="127"/>
    </row>
    <row r="37" spans="1:8" s="60" customFormat="1" x14ac:dyDescent="0.4">
      <c r="A37" s="56"/>
      <c r="B37" s="56"/>
      <c r="C37" s="56"/>
      <c r="D37" s="56"/>
      <c r="E37" s="126"/>
      <c r="F37" s="127"/>
      <c r="G37" s="127"/>
      <c r="H37" s="127"/>
    </row>
    <row r="38" spans="1:8" x14ac:dyDescent="0.4">
      <c r="A38" s="122"/>
      <c r="B38" s="122"/>
      <c r="C38" s="122"/>
      <c r="D38" s="122"/>
      <c r="E38" s="122"/>
      <c r="F38" s="122"/>
      <c r="G38" s="122"/>
    </row>
    <row r="39" spans="1:8" s="60" customFormat="1" x14ac:dyDescent="0.4">
      <c r="A39" s="4" t="s">
        <v>32</v>
      </c>
      <c r="B39" s="8" t="s">
        <v>33</v>
      </c>
      <c r="C39" s="8">
        <v>35</v>
      </c>
      <c r="D39" s="9" t="s">
        <v>34</v>
      </c>
      <c r="E39" s="130"/>
      <c r="F39" s="131"/>
      <c r="G39" s="131"/>
      <c r="H39" s="131"/>
    </row>
    <row r="40" spans="1:8" s="60" customFormat="1" x14ac:dyDescent="0.4">
      <c r="A40" s="4" t="s">
        <v>35</v>
      </c>
      <c r="B40" s="8" t="s">
        <v>36</v>
      </c>
      <c r="C40" s="8">
        <v>3.8</v>
      </c>
      <c r="D40" s="9" t="s">
        <v>37</v>
      </c>
      <c r="E40" s="130"/>
      <c r="F40" s="131"/>
      <c r="G40" s="131"/>
      <c r="H40" s="131"/>
    </row>
    <row r="41" spans="1:8" s="60" customFormat="1" x14ac:dyDescent="0.4">
      <c r="A41" s="4" t="s">
        <v>38</v>
      </c>
      <c r="B41" s="8" t="s">
        <v>39</v>
      </c>
      <c r="C41" s="8">
        <v>100</v>
      </c>
      <c r="D41" s="9" t="s">
        <v>34</v>
      </c>
      <c r="E41" s="130"/>
      <c r="F41" s="131"/>
      <c r="G41" s="131"/>
      <c r="H41" s="131"/>
    </row>
    <row r="42" spans="1:8" s="60" customFormat="1" x14ac:dyDescent="0.4">
      <c r="A42" s="4" t="s">
        <v>40</v>
      </c>
      <c r="B42" s="8" t="s">
        <v>41</v>
      </c>
      <c r="C42" s="10">
        <f>'Do not change this Data'!C73*1000</f>
        <v>9.8072126746066193</v>
      </c>
      <c r="D42" s="9" t="s">
        <v>42</v>
      </c>
      <c r="E42" s="130"/>
      <c r="F42" s="131"/>
      <c r="G42" s="131"/>
      <c r="H42" s="131"/>
    </row>
    <row r="43" spans="1:8" s="60" customFormat="1" x14ac:dyDescent="0.4">
      <c r="A43" s="4" t="s">
        <v>43</v>
      </c>
      <c r="B43" s="8" t="s">
        <v>44</v>
      </c>
      <c r="C43" s="10">
        <f>'Do not change this Data'!C74*1000</f>
        <v>13.60721267460662</v>
      </c>
      <c r="D43" s="9" t="s">
        <v>42</v>
      </c>
      <c r="E43" s="130"/>
      <c r="F43" s="131"/>
      <c r="G43" s="131"/>
      <c r="H43" s="131"/>
    </row>
    <row r="44" spans="1:8" s="60" customFormat="1" x14ac:dyDescent="0.4">
      <c r="A44" s="4" t="s">
        <v>43</v>
      </c>
      <c r="B44" s="8" t="s">
        <v>45</v>
      </c>
      <c r="C44" s="10">
        <f>'Do not change this Data'!C75</f>
        <v>84.590205150362692</v>
      </c>
      <c r="D44" s="9" t="s">
        <v>34</v>
      </c>
      <c r="E44" s="130"/>
      <c r="F44" s="131"/>
      <c r="G44" s="131"/>
      <c r="H44" s="131"/>
    </row>
    <row r="45" spans="1:8" s="60" customFormat="1" x14ac:dyDescent="0.4">
      <c r="A45" s="4" t="s">
        <v>46</v>
      </c>
      <c r="B45" s="8" t="s">
        <v>45</v>
      </c>
      <c r="C45" s="11">
        <f>IF(C44&gt;95,"more than max",C44)</f>
        <v>84.590205150362692</v>
      </c>
      <c r="D45" s="132" t="s">
        <v>34</v>
      </c>
      <c r="E45" s="133"/>
      <c r="F45" s="131"/>
      <c r="G45" s="131"/>
      <c r="H45" s="131"/>
    </row>
    <row r="46" spans="1:8" s="60" customFormat="1" x14ac:dyDescent="0.4">
      <c r="A46" s="4" t="s">
        <v>47</v>
      </c>
      <c r="B46" s="8" t="s">
        <v>48</v>
      </c>
      <c r="C46" s="12">
        <f>'Do not change this Data'!C86</f>
        <v>20.568739321197043</v>
      </c>
      <c r="D46" s="9" t="s">
        <v>2</v>
      </c>
      <c r="E46" s="130"/>
      <c r="F46" s="131"/>
      <c r="G46" s="131"/>
      <c r="H46" s="131"/>
    </row>
    <row r="47" spans="1:8" s="60" customFormat="1" x14ac:dyDescent="0.4">
      <c r="A47" s="4" t="s">
        <v>49</v>
      </c>
      <c r="B47" s="8" t="s">
        <v>30</v>
      </c>
      <c r="C47" s="12">
        <f>'Do not change this Data'!C87</f>
        <v>9.4312606788029569</v>
      </c>
      <c r="D47" s="9" t="s">
        <v>50</v>
      </c>
      <c r="E47" s="130"/>
      <c r="F47" s="131"/>
      <c r="G47" s="131"/>
      <c r="H47" s="131"/>
    </row>
    <row r="48" spans="1:8" s="60" customFormat="1" x14ac:dyDescent="0.4">
      <c r="A48" s="4" t="s">
        <v>51</v>
      </c>
      <c r="B48" s="8" t="s">
        <v>52</v>
      </c>
      <c r="C48" s="12">
        <f>'Do not change this Data'!C88</f>
        <v>19.371279874973435</v>
      </c>
      <c r="D48" s="9" t="s">
        <v>53</v>
      </c>
      <c r="E48" s="130"/>
      <c r="F48" s="131"/>
      <c r="G48" s="131"/>
      <c r="H48" s="131"/>
    </row>
    <row r="49" spans="1:8" s="60" customFormat="1" x14ac:dyDescent="0.4">
      <c r="A49" s="4" t="s">
        <v>54</v>
      </c>
      <c r="B49" s="8" t="s">
        <v>55</v>
      </c>
      <c r="C49" s="12">
        <f>'Do not change this Data'!C89</f>
        <v>13.783892738263617</v>
      </c>
      <c r="D49" s="9" t="s">
        <v>56</v>
      </c>
      <c r="E49" s="130"/>
      <c r="F49" s="131"/>
      <c r="G49" s="131"/>
      <c r="H49" s="131"/>
    </row>
    <row r="50" spans="1:8" s="60" customFormat="1" x14ac:dyDescent="0.4">
      <c r="A50" s="4" t="s">
        <v>57</v>
      </c>
      <c r="B50" s="4" t="s">
        <v>58</v>
      </c>
      <c r="C50" s="12">
        <f>'Do not change this Data'!C90</f>
        <v>19.401499071578392</v>
      </c>
      <c r="D50" s="9" t="s">
        <v>59</v>
      </c>
      <c r="E50" s="134"/>
      <c r="F50" s="65"/>
      <c r="G50" s="65"/>
      <c r="H50" s="65"/>
    </row>
    <row r="51" spans="1:8" s="60" customFormat="1" x14ac:dyDescent="0.4">
      <c r="A51" s="4" t="s">
        <v>60</v>
      </c>
      <c r="B51" s="4"/>
      <c r="C51" s="12">
        <v>10</v>
      </c>
      <c r="D51" s="9" t="s">
        <v>34</v>
      </c>
      <c r="E51" s="134"/>
      <c r="F51" s="65"/>
      <c r="G51" s="65"/>
      <c r="H51" s="65"/>
    </row>
    <row r="53" spans="1:8" x14ac:dyDescent="0.4">
      <c r="A53" s="4" t="s">
        <v>14</v>
      </c>
      <c r="B53" s="8"/>
      <c r="C53" s="10">
        <v>5</v>
      </c>
      <c r="D53" s="9" t="s">
        <v>15</v>
      </c>
    </row>
    <row r="54" spans="1:8" x14ac:dyDescent="0.4">
      <c r="A54" s="55"/>
      <c r="B54" s="55"/>
      <c r="C54" s="135"/>
      <c r="D54" s="55"/>
    </row>
    <row r="55" spans="1:8" x14ac:dyDescent="0.4">
      <c r="A55" s="55"/>
      <c r="B55" s="55"/>
      <c r="C55" s="135"/>
      <c r="D55" s="55"/>
    </row>
    <row r="57" spans="1:8" s="60" customFormat="1" ht="15.9" x14ac:dyDescent="0.45">
      <c r="A57" s="136" t="s">
        <v>61</v>
      </c>
      <c r="B57" s="75"/>
      <c r="C57" s="75"/>
      <c r="D57" s="75"/>
      <c r="E57" s="75"/>
      <c r="F57" s="76"/>
      <c r="G57" s="76"/>
      <c r="H57" s="76"/>
    </row>
    <row r="58" spans="1:8" s="60" customFormat="1" ht="15.9" x14ac:dyDescent="0.45">
      <c r="A58" s="137"/>
      <c r="B58" s="75"/>
      <c r="C58" s="75"/>
      <c r="D58" s="75"/>
      <c r="E58" s="75"/>
      <c r="F58" s="76"/>
      <c r="G58" s="76"/>
      <c r="H58" s="76"/>
    </row>
    <row r="59" spans="1:8" s="60" customFormat="1" x14ac:dyDescent="0.4">
      <c r="A59" s="75" t="s">
        <v>62</v>
      </c>
      <c r="B59" s="75" t="s">
        <v>63</v>
      </c>
      <c r="C59" s="75">
        <f>1013.25*((1-(0.0065*'Do not change this Data'!C36)/288.15)^5.255)</f>
        <v>954.61788007933478</v>
      </c>
      <c r="D59" s="75" t="s">
        <v>64</v>
      </c>
      <c r="E59" s="75"/>
      <c r="F59" s="76"/>
      <c r="G59" s="76"/>
      <c r="H59" s="76"/>
    </row>
    <row r="60" spans="1:8" s="60" customFormat="1" x14ac:dyDescent="0.4">
      <c r="A60" s="75"/>
      <c r="B60" s="75"/>
      <c r="C60" s="75"/>
      <c r="D60" s="75"/>
      <c r="E60" s="75"/>
      <c r="F60" s="76"/>
      <c r="G60" s="76"/>
      <c r="H60" s="76"/>
    </row>
    <row r="61" spans="1:8" s="60" customFormat="1" x14ac:dyDescent="0.4">
      <c r="A61" s="75" t="s">
        <v>65</v>
      </c>
      <c r="B61" s="75" t="s">
        <v>66</v>
      </c>
      <c r="C61" s="75">
        <v>287.05</v>
      </c>
      <c r="D61" s="75" t="s">
        <v>67</v>
      </c>
      <c r="E61" s="75"/>
      <c r="F61" s="76"/>
      <c r="G61" s="76"/>
      <c r="H61" s="76"/>
    </row>
    <row r="62" spans="1:8" s="60" customFormat="1" x14ac:dyDescent="0.4">
      <c r="A62" s="75" t="s">
        <v>68</v>
      </c>
      <c r="B62" s="75" t="s">
        <v>69</v>
      </c>
      <c r="C62" s="75">
        <v>461.53</v>
      </c>
      <c r="D62" s="75" t="s">
        <v>67</v>
      </c>
      <c r="E62" s="75"/>
      <c r="F62" s="76"/>
      <c r="G62" s="76"/>
      <c r="H62" s="76"/>
    </row>
    <row r="63" spans="1:8" s="60" customFormat="1" x14ac:dyDescent="0.4">
      <c r="A63" s="75"/>
      <c r="B63" s="75"/>
      <c r="C63" s="75"/>
      <c r="D63" s="75"/>
      <c r="E63" s="75"/>
      <c r="F63" s="76"/>
      <c r="G63" s="76"/>
      <c r="H63" s="76"/>
    </row>
    <row r="64" spans="1:8" s="60" customFormat="1" x14ac:dyDescent="0.4">
      <c r="A64" s="75" t="s">
        <v>70</v>
      </c>
      <c r="B64" s="75" t="s">
        <v>71</v>
      </c>
      <c r="C64" s="75">
        <f>(C59*100)/(C61*(273+Berechnung!B8))</f>
        <v>1.097562814724881</v>
      </c>
      <c r="D64" s="75" t="s">
        <v>72</v>
      </c>
      <c r="E64" s="75"/>
      <c r="F64" s="76"/>
      <c r="G64" s="76"/>
      <c r="H64" s="76"/>
    </row>
    <row r="65" spans="1:8" s="60" customFormat="1" x14ac:dyDescent="0.4">
      <c r="A65" s="75" t="s">
        <v>70</v>
      </c>
      <c r="B65" s="75" t="s">
        <v>73</v>
      </c>
      <c r="C65" s="75">
        <f>(C59*100)/(C61*(273+'Do not change this Data'!C46))</f>
        <v>1.1328233845013707</v>
      </c>
      <c r="D65" s="75" t="s">
        <v>72</v>
      </c>
      <c r="E65" s="75"/>
      <c r="F65" s="76"/>
      <c r="G65" s="76"/>
      <c r="H65" s="76"/>
    </row>
    <row r="66" spans="1:8" s="60" customFormat="1" x14ac:dyDescent="0.4">
      <c r="A66" s="75"/>
      <c r="B66" s="75"/>
      <c r="C66" s="75"/>
      <c r="D66" s="75"/>
      <c r="E66" s="75"/>
      <c r="F66" s="76"/>
      <c r="G66" s="76"/>
      <c r="H66" s="76"/>
    </row>
    <row r="67" spans="1:8" s="60" customFormat="1" x14ac:dyDescent="0.4">
      <c r="A67" s="75" t="s">
        <v>74</v>
      </c>
      <c r="B67" s="75" t="s">
        <v>75</v>
      </c>
      <c r="C67" s="75">
        <f>'Do not change this Data'!C35*C64</f>
        <v>4939.0326662619646</v>
      </c>
      <c r="D67" s="75" t="s">
        <v>76</v>
      </c>
      <c r="E67" s="75"/>
      <c r="F67" s="76"/>
      <c r="G67" s="76"/>
      <c r="H67" s="76"/>
    </row>
    <row r="68" spans="1:8" s="60" customFormat="1" x14ac:dyDescent="0.4">
      <c r="A68" s="75" t="s">
        <v>74</v>
      </c>
      <c r="B68" s="75" t="s">
        <v>77</v>
      </c>
      <c r="C68" s="75">
        <f>'Do not change this Data'!C35*C65</f>
        <v>5097.7052302561679</v>
      </c>
      <c r="D68" s="75" t="s">
        <v>76</v>
      </c>
      <c r="E68" s="75"/>
      <c r="F68" s="76"/>
      <c r="G68" s="76"/>
      <c r="H68" s="76"/>
    </row>
    <row r="69" spans="1:8" s="60" customFormat="1" x14ac:dyDescent="0.4">
      <c r="A69" s="138" t="s">
        <v>78</v>
      </c>
      <c r="B69" s="75"/>
      <c r="C69" s="75">
        <f>C68*(1+0.00156)</f>
        <v>5105.6576504153672</v>
      </c>
      <c r="D69" s="75" t="s">
        <v>76</v>
      </c>
      <c r="E69" s="75"/>
      <c r="F69" s="76"/>
      <c r="G69" s="76"/>
      <c r="H69" s="76"/>
    </row>
    <row r="70" spans="1:8" s="60" customFormat="1" x14ac:dyDescent="0.4">
      <c r="A70" s="75" t="s">
        <v>79</v>
      </c>
      <c r="B70" s="75" t="s">
        <v>80</v>
      </c>
      <c r="C70" s="75">
        <f>(611.2*EXP((17.62*Berechnung!B8)/(243.12+Berechnung!B8)) / 100000)*1000</f>
        <v>42.337239159158536</v>
      </c>
      <c r="D70" s="75" t="s">
        <v>81</v>
      </c>
      <c r="E70" s="75"/>
      <c r="F70" s="76"/>
      <c r="G70" s="76"/>
      <c r="H70" s="76"/>
    </row>
    <row r="71" spans="1:8" s="60" customFormat="1" x14ac:dyDescent="0.4">
      <c r="A71" s="75" t="s">
        <v>79</v>
      </c>
      <c r="B71" s="75" t="s">
        <v>82</v>
      </c>
      <c r="C71" s="75">
        <f>(611.2*EXP((17.62*'Do not change this Data'!C46)/(243.12+'Do not change this Data'!C46)) / 100000)*1000</f>
        <v>24.159605704200214</v>
      </c>
      <c r="D71" s="75" t="s">
        <v>81</v>
      </c>
      <c r="E71" s="75"/>
      <c r="F71" s="76"/>
      <c r="G71" s="76"/>
      <c r="H71" s="76"/>
    </row>
    <row r="72" spans="1:8" s="60" customFormat="1" x14ac:dyDescent="0.4">
      <c r="A72" s="75"/>
      <c r="B72" s="75"/>
      <c r="C72" s="75"/>
      <c r="D72" s="75"/>
      <c r="E72" s="75"/>
      <c r="F72" s="76"/>
      <c r="G72" s="76"/>
      <c r="H72" s="76"/>
    </row>
    <row r="73" spans="1:8" s="60" customFormat="1" x14ac:dyDescent="0.4">
      <c r="A73" s="75" t="s">
        <v>83</v>
      </c>
      <c r="B73" s="75" t="s">
        <v>41</v>
      </c>
      <c r="C73" s="75">
        <f>(0.622*('Do not change this Data'!C39/100)*C70)/(C59-(('Do not change this Data'!C39/100)*C70))</f>
        <v>9.8072126746066197E-3</v>
      </c>
      <c r="D73" s="75" t="s">
        <v>84</v>
      </c>
      <c r="E73" s="75"/>
      <c r="F73" s="76"/>
      <c r="G73" s="76"/>
      <c r="H73" s="76"/>
    </row>
    <row r="74" spans="1:8" s="60" customFormat="1" x14ac:dyDescent="0.4">
      <c r="A74" s="75" t="s">
        <v>83</v>
      </c>
      <c r="B74" s="75" t="s">
        <v>44</v>
      </c>
      <c r="C74" s="75">
        <f>C73+'Do not change this Data'!C40/1000</f>
        <v>1.3607212674606619E-2</v>
      </c>
      <c r="D74" s="75" t="s">
        <v>84</v>
      </c>
      <c r="E74" s="75"/>
      <c r="F74" s="76"/>
      <c r="G74" s="76"/>
      <c r="H74" s="76"/>
    </row>
    <row r="75" spans="1:8" s="60" customFormat="1" x14ac:dyDescent="0.4">
      <c r="A75" s="75" t="s">
        <v>43</v>
      </c>
      <c r="B75" s="75" t="s">
        <v>45</v>
      </c>
      <c r="C75" s="75">
        <f>(((C74*C59)/((0.622*C71)+(C74*C71))))*100</f>
        <v>84.590205150362692</v>
      </c>
      <c r="D75" s="75" t="s">
        <v>34</v>
      </c>
      <c r="E75" s="75"/>
      <c r="F75" s="76"/>
      <c r="G75" s="76"/>
      <c r="H75" s="76"/>
    </row>
    <row r="76" spans="1:8" s="60" customFormat="1" x14ac:dyDescent="0.4">
      <c r="A76" s="75"/>
      <c r="B76" s="75"/>
      <c r="C76" s="75"/>
      <c r="D76" s="75"/>
      <c r="E76" s="75"/>
      <c r="F76" s="76"/>
      <c r="G76" s="76"/>
      <c r="H76" s="76"/>
    </row>
    <row r="77" spans="1:8" s="60" customFormat="1" x14ac:dyDescent="0.4">
      <c r="A77" s="75"/>
      <c r="B77" s="75"/>
      <c r="C77" s="75"/>
      <c r="D77" s="75"/>
      <c r="E77" s="139"/>
      <c r="F77" s="76"/>
      <c r="G77" s="76"/>
      <c r="H77" s="76"/>
    </row>
    <row r="78" spans="1:8" s="60" customFormat="1" x14ac:dyDescent="0.4">
      <c r="A78" s="75" t="s">
        <v>85</v>
      </c>
      <c r="B78" s="75" t="s">
        <v>86</v>
      </c>
      <c r="C78" s="75">
        <f>1.005*Berechnung!B8+C73*(2501.6+(1.93*Berechnung!B8))</f>
        <v>55.251560840655642</v>
      </c>
      <c r="D78" s="75" t="s">
        <v>87</v>
      </c>
      <c r="E78" s="139"/>
      <c r="F78" s="76"/>
      <c r="G78" s="76"/>
      <c r="H78" s="76"/>
    </row>
    <row r="79" spans="1:8" s="60" customFormat="1" x14ac:dyDescent="0.4">
      <c r="A79" s="75" t="s">
        <v>85</v>
      </c>
      <c r="B79" s="75" t="s">
        <v>88</v>
      </c>
      <c r="C79" s="75">
        <f>1.005*'Do not change this Data'!C46+C73*(2501.6+(1.93*'Do not change this Data'!C46))</f>
        <v>45.594629706473981</v>
      </c>
      <c r="D79" s="75" t="s">
        <v>87</v>
      </c>
      <c r="E79" s="139"/>
      <c r="F79" s="76"/>
      <c r="G79" s="76"/>
      <c r="H79" s="76"/>
    </row>
    <row r="80" spans="1:8" s="60" customFormat="1" x14ac:dyDescent="0.4">
      <c r="A80" s="75" t="s">
        <v>89</v>
      </c>
      <c r="B80" s="75" t="s">
        <v>90</v>
      </c>
      <c r="C80" s="75">
        <f>1.005*'Do not change this Data'!C46+C74*(2501.6+(1.93*'Do not change this Data'!C46))</f>
        <v>55.251560840655642</v>
      </c>
      <c r="D80" s="75" t="s">
        <v>87</v>
      </c>
      <c r="E80" s="139"/>
      <c r="F80" s="76"/>
      <c r="G80" s="76"/>
      <c r="H80" s="76"/>
    </row>
    <row r="81" spans="1:8" s="60" customFormat="1" x14ac:dyDescent="0.4">
      <c r="A81" s="75" t="s">
        <v>91</v>
      </c>
      <c r="B81" s="75" t="s">
        <v>92</v>
      </c>
      <c r="C81" s="75">
        <v>0</v>
      </c>
      <c r="D81" s="75" t="s">
        <v>87</v>
      </c>
      <c r="E81" s="139"/>
      <c r="F81" s="76"/>
      <c r="G81" s="76"/>
      <c r="H81" s="76"/>
    </row>
    <row r="82" spans="1:8" s="60" customFormat="1" x14ac:dyDescent="0.4">
      <c r="A82" s="75"/>
      <c r="B82" s="75"/>
      <c r="C82" s="75"/>
      <c r="D82" s="75"/>
      <c r="E82" s="139"/>
      <c r="F82" s="76"/>
      <c r="G82" s="76"/>
      <c r="H82" s="76"/>
    </row>
    <row r="83" spans="1:8" s="60" customFormat="1" x14ac:dyDescent="0.4">
      <c r="A83" s="75"/>
      <c r="B83" s="75"/>
      <c r="C83" s="75"/>
      <c r="D83" s="75"/>
      <c r="E83" s="139"/>
      <c r="F83" s="76"/>
      <c r="G83" s="76"/>
      <c r="H83" s="76"/>
    </row>
    <row r="84" spans="1:8" s="60" customFormat="1" ht="15.9" x14ac:dyDescent="0.45">
      <c r="A84" s="136" t="s">
        <v>93</v>
      </c>
      <c r="B84" s="75"/>
      <c r="C84" s="75"/>
      <c r="D84" s="75"/>
      <c r="E84" s="139"/>
      <c r="F84" s="76"/>
      <c r="G84" s="76"/>
      <c r="H84" s="76"/>
    </row>
    <row r="85" spans="1:8" s="60" customFormat="1" x14ac:dyDescent="0.4">
      <c r="A85" s="75"/>
      <c r="B85" s="75"/>
      <c r="C85" s="75"/>
      <c r="D85" s="75"/>
      <c r="E85" s="139"/>
      <c r="F85" s="76"/>
      <c r="G85" s="76"/>
      <c r="H85" s="76"/>
    </row>
    <row r="86" spans="1:8" s="60" customFormat="1" x14ac:dyDescent="0.4">
      <c r="A86" s="75" t="s">
        <v>47</v>
      </c>
      <c r="B86" s="75" t="s">
        <v>48</v>
      </c>
      <c r="C86" s="75">
        <f>(C78-C74*2501.6)/(1.005+C74*1.93)</f>
        <v>20.568739321197043</v>
      </c>
      <c r="D86" s="75" t="s">
        <v>2</v>
      </c>
      <c r="E86" s="139"/>
      <c r="F86" s="76"/>
      <c r="G86" s="76"/>
      <c r="H86" s="76"/>
    </row>
    <row r="87" spans="1:8" s="60" customFormat="1" x14ac:dyDescent="0.4">
      <c r="A87" s="75" t="s">
        <v>49</v>
      </c>
      <c r="B87" s="75" t="s">
        <v>30</v>
      </c>
      <c r="C87" s="75">
        <f>Berechnung!B8-C86</f>
        <v>9.4312606788029569</v>
      </c>
      <c r="D87" s="75" t="s">
        <v>50</v>
      </c>
      <c r="E87" s="139"/>
      <c r="F87" s="76"/>
      <c r="G87" s="76"/>
      <c r="H87" s="76"/>
    </row>
    <row r="88" spans="1:8" s="60" customFormat="1" x14ac:dyDescent="0.4">
      <c r="A88" s="75" t="s">
        <v>51</v>
      </c>
      <c r="B88" s="75" t="s">
        <v>94</v>
      </c>
      <c r="C88" s="75">
        <f>C68*(C74-C73)</f>
        <v>19.371279874973435</v>
      </c>
      <c r="D88" s="75" t="s">
        <v>53</v>
      </c>
      <c r="E88" s="139"/>
      <c r="F88" s="76"/>
      <c r="G88" s="76"/>
      <c r="H88" s="76"/>
    </row>
    <row r="89" spans="1:8" s="60" customFormat="1" ht="15" thickBot="1" x14ac:dyDescent="0.45">
      <c r="A89" s="75" t="s">
        <v>54</v>
      </c>
      <c r="B89" s="75" t="s">
        <v>95</v>
      </c>
      <c r="C89" s="75">
        <f>((C78+C81-C79)*C68*0.28/1000)</f>
        <v>13.783892738263617</v>
      </c>
      <c r="D89" s="75" t="s">
        <v>56</v>
      </c>
      <c r="E89" s="139"/>
      <c r="F89" s="76"/>
      <c r="G89" s="76"/>
      <c r="H89" s="76"/>
    </row>
    <row r="90" spans="1:8" s="60" customFormat="1" ht="15" thickBot="1" x14ac:dyDescent="0.45">
      <c r="A90" s="13" t="s">
        <v>51</v>
      </c>
      <c r="B90" s="140" t="s">
        <v>96</v>
      </c>
      <c r="C90" s="141">
        <f>C69*(C74-C73)</f>
        <v>19.401499071578392</v>
      </c>
      <c r="D90" s="142" t="s">
        <v>59</v>
      </c>
      <c r="E90" s="139"/>
      <c r="F90" s="76"/>
      <c r="G90" s="76"/>
      <c r="H90" s="76"/>
    </row>
    <row r="93" spans="1:8" s="60" customFormat="1" x14ac:dyDescent="0.4">
      <c r="A93" s="14" t="s">
        <v>97</v>
      </c>
      <c r="B93" s="15"/>
      <c r="C93" s="16"/>
      <c r="D93" s="76"/>
      <c r="E93" s="76"/>
      <c r="F93" s="76"/>
      <c r="G93" s="76"/>
      <c r="H93" s="76"/>
    </row>
    <row r="94" spans="1:8" s="60" customFormat="1" x14ac:dyDescent="0.4">
      <c r="A94" s="17" t="s">
        <v>98</v>
      </c>
      <c r="B94" s="143">
        <v>1</v>
      </c>
      <c r="C94" s="16"/>
      <c r="D94" s="76"/>
      <c r="E94" s="76"/>
      <c r="F94" s="76"/>
      <c r="G94" s="76"/>
      <c r="H94" s="76"/>
    </row>
    <row r="95" spans="1:8" s="60" customFormat="1" x14ac:dyDescent="0.4">
      <c r="A95" s="14" t="s">
        <v>99</v>
      </c>
      <c r="B95" s="144">
        <v>0.1</v>
      </c>
      <c r="C95" s="76"/>
      <c r="D95" s="18" t="s">
        <v>100</v>
      </c>
      <c r="E95" s="19">
        <f>B115/4*B95</f>
        <v>219</v>
      </c>
      <c r="F95" s="76"/>
      <c r="G95" s="76"/>
      <c r="H95" s="76"/>
    </row>
    <row r="96" spans="1:8" s="60" customFormat="1" x14ac:dyDescent="0.4">
      <c r="A96" s="14" t="s">
        <v>101</v>
      </c>
      <c r="B96" s="144">
        <v>0.5</v>
      </c>
      <c r="C96" s="76"/>
      <c r="D96" s="18" t="str">
        <f>D95</f>
        <v>Laufzeit in h</v>
      </c>
      <c r="E96" s="19">
        <f>B115/4*B96</f>
        <v>1095</v>
      </c>
      <c r="F96" s="76"/>
      <c r="G96" s="76"/>
      <c r="H96" s="76"/>
    </row>
    <row r="97" spans="1:8" s="60" customFormat="1" x14ac:dyDescent="0.4">
      <c r="A97" s="14" t="s">
        <v>102</v>
      </c>
      <c r="B97" s="144">
        <v>0.1</v>
      </c>
      <c r="C97" s="76"/>
      <c r="D97" s="18" t="str">
        <f>D95</f>
        <v>Laufzeit in h</v>
      </c>
      <c r="E97" s="19">
        <f>B115/4*B97</f>
        <v>219</v>
      </c>
      <c r="F97" s="76"/>
      <c r="G97" s="76"/>
      <c r="H97" s="76"/>
    </row>
    <row r="98" spans="1:8" s="60" customFormat="1" x14ac:dyDescent="0.4">
      <c r="A98" s="14" t="s">
        <v>103</v>
      </c>
      <c r="B98" s="144">
        <v>0</v>
      </c>
      <c r="C98" s="76"/>
      <c r="D98" s="18" t="str">
        <f>D95</f>
        <v>Laufzeit in h</v>
      </c>
      <c r="E98" s="19">
        <f>B115/4*B98</f>
        <v>0</v>
      </c>
      <c r="F98" s="76"/>
      <c r="G98" s="76"/>
      <c r="H98" s="76"/>
    </row>
    <row r="99" spans="1:8" s="60" customFormat="1" x14ac:dyDescent="0.4">
      <c r="A99" s="14" t="s">
        <v>104</v>
      </c>
      <c r="B99" s="145">
        <v>0.2</v>
      </c>
      <c r="C99" s="16"/>
      <c r="D99" s="20"/>
      <c r="E99" s="21"/>
      <c r="F99" s="76"/>
      <c r="G99" s="76"/>
      <c r="H99" s="76"/>
    </row>
    <row r="100" spans="1:8" s="60" customFormat="1" ht="15.45" x14ac:dyDescent="0.4">
      <c r="A100" s="14" t="s">
        <v>105</v>
      </c>
      <c r="B100" s="145">
        <v>1.8</v>
      </c>
      <c r="C100" s="16"/>
      <c r="D100" s="22" t="s">
        <v>106</v>
      </c>
      <c r="E100" s="23"/>
      <c r="F100" s="76"/>
      <c r="G100" s="76"/>
      <c r="H100" s="76"/>
    </row>
    <row r="101" spans="1:8" s="60" customFormat="1" ht="15.45" x14ac:dyDescent="0.4">
      <c r="A101" s="14" t="s">
        <v>107</v>
      </c>
      <c r="B101" s="145">
        <v>3.7</v>
      </c>
      <c r="C101" s="16"/>
      <c r="D101" s="24" t="s">
        <v>108</v>
      </c>
      <c r="E101" s="25"/>
      <c r="F101" s="76"/>
      <c r="G101" s="76"/>
      <c r="H101" s="76"/>
    </row>
    <row r="102" spans="1:8" s="60" customFormat="1" x14ac:dyDescent="0.4">
      <c r="A102" s="14" t="s">
        <v>109</v>
      </c>
      <c r="B102" s="145">
        <v>0.3</v>
      </c>
      <c r="C102" s="16"/>
      <c r="D102" s="26" t="s">
        <v>110</v>
      </c>
      <c r="E102" s="27"/>
      <c r="F102" s="76"/>
      <c r="G102" s="76"/>
      <c r="H102" s="76"/>
    </row>
    <row r="103" spans="1:8" s="60" customFormat="1" x14ac:dyDescent="0.4">
      <c r="A103" s="14" t="s">
        <v>111</v>
      </c>
      <c r="B103" s="145">
        <v>20</v>
      </c>
      <c r="C103" s="16"/>
      <c r="D103" s="28" t="s">
        <v>112</v>
      </c>
      <c r="E103" s="29">
        <f>E95</f>
        <v>219</v>
      </c>
      <c r="F103" s="76"/>
      <c r="G103" s="76"/>
      <c r="H103" s="76"/>
    </row>
    <row r="104" spans="1:8" s="60" customFormat="1" x14ac:dyDescent="0.4">
      <c r="A104" s="14" t="s">
        <v>113</v>
      </c>
      <c r="B104" s="145">
        <v>0</v>
      </c>
      <c r="C104" s="16"/>
      <c r="D104" s="28" t="s">
        <v>114</v>
      </c>
      <c r="E104" s="29">
        <f>+B107*E95*B94</f>
        <v>4248.9282966756682</v>
      </c>
      <c r="F104" s="76"/>
      <c r="G104" s="76"/>
      <c r="H104" s="76"/>
    </row>
    <row r="105" spans="1:8" s="60" customFormat="1" x14ac:dyDescent="0.4">
      <c r="A105" s="28"/>
      <c r="B105" s="16"/>
      <c r="C105" s="16"/>
      <c r="D105" s="30" t="s">
        <v>115</v>
      </c>
      <c r="E105" s="31">
        <f>+E104/1000</f>
        <v>4.2489282966756683</v>
      </c>
      <c r="F105" s="76"/>
      <c r="G105" s="76"/>
      <c r="H105" s="76"/>
    </row>
    <row r="106" spans="1:8" s="60" customFormat="1" x14ac:dyDescent="0.4">
      <c r="A106" s="32" t="s">
        <v>116</v>
      </c>
      <c r="B106" s="33"/>
      <c r="C106" s="16"/>
      <c r="D106" s="34" t="s">
        <v>117</v>
      </c>
      <c r="E106" s="35">
        <f>+E95*B109</f>
        <v>9.3476422526864713</v>
      </c>
      <c r="F106" s="76"/>
      <c r="G106" s="76"/>
      <c r="H106" s="76"/>
    </row>
    <row r="107" spans="1:8" s="60" customFormat="1" x14ac:dyDescent="0.4">
      <c r="A107" s="36" t="s">
        <v>118</v>
      </c>
      <c r="B107" s="37">
        <f>'Do not change this Data'!C50</f>
        <v>19.401499071578392</v>
      </c>
      <c r="C107" s="16"/>
      <c r="D107" s="38" t="s">
        <v>119</v>
      </c>
      <c r="E107" s="27"/>
      <c r="F107" s="76"/>
      <c r="G107" s="76"/>
      <c r="H107" s="76"/>
    </row>
    <row r="108" spans="1:8" s="60" customFormat="1" x14ac:dyDescent="0.4">
      <c r="A108" s="36" t="s">
        <v>120</v>
      </c>
      <c r="B108" s="37">
        <f>+B107*B113*B94</f>
        <v>29742.498076729677</v>
      </c>
      <c r="C108" s="16"/>
      <c r="D108" s="28" t="s">
        <v>112</v>
      </c>
      <c r="E108" s="29">
        <f>E96</f>
        <v>1095</v>
      </c>
      <c r="F108" s="76"/>
      <c r="G108" s="76"/>
      <c r="H108" s="76"/>
    </row>
    <row r="109" spans="1:8" s="60" customFormat="1" ht="25.75" x14ac:dyDescent="0.4">
      <c r="A109" s="39" t="s">
        <v>121</v>
      </c>
      <c r="B109" s="37">
        <f>2.2*B107/1000</f>
        <v>4.2683297957472471E-2</v>
      </c>
      <c r="C109" s="16"/>
      <c r="D109" s="28" t="s">
        <v>114</v>
      </c>
      <c r="E109" s="29">
        <f>+B107*E96*B94</f>
        <v>21244.641483378338</v>
      </c>
      <c r="F109" s="76"/>
      <c r="G109" s="76"/>
      <c r="H109" s="76"/>
    </row>
    <row r="110" spans="1:8" s="60" customFormat="1" x14ac:dyDescent="0.4">
      <c r="A110" s="36" t="s">
        <v>122</v>
      </c>
      <c r="B110" s="37">
        <f>+B109*B113</f>
        <v>65.433495768805301</v>
      </c>
      <c r="C110" s="16"/>
      <c r="D110" s="30" t="s">
        <v>115</v>
      </c>
      <c r="E110" s="31">
        <f>+E109/1000</f>
        <v>21.244641483378338</v>
      </c>
      <c r="F110" s="76"/>
      <c r="G110" s="76"/>
      <c r="H110" s="76"/>
    </row>
    <row r="111" spans="1:8" s="60" customFormat="1" x14ac:dyDescent="0.4">
      <c r="A111" s="36"/>
      <c r="B111" s="37"/>
      <c r="C111" s="16"/>
      <c r="D111" s="34" t="s">
        <v>117</v>
      </c>
      <c r="E111" s="35">
        <f>+E96*B109</f>
        <v>46.738211263432355</v>
      </c>
      <c r="F111" s="76"/>
      <c r="G111" s="76"/>
      <c r="H111" s="76"/>
    </row>
    <row r="112" spans="1:8" s="60" customFormat="1" x14ac:dyDescent="0.4">
      <c r="A112" s="36"/>
      <c r="B112" s="37"/>
      <c r="C112" s="16"/>
      <c r="D112" s="26" t="s">
        <v>123</v>
      </c>
      <c r="E112" s="40"/>
      <c r="F112" s="76"/>
      <c r="G112" s="76"/>
      <c r="H112" s="76"/>
    </row>
    <row r="113" spans="1:8" s="60" customFormat="1" x14ac:dyDescent="0.4">
      <c r="A113" s="36" t="s">
        <v>124</v>
      </c>
      <c r="B113" s="37">
        <f>E95+E96+E97+E98</f>
        <v>1533</v>
      </c>
      <c r="C113" s="16"/>
      <c r="D113" s="28" t="s">
        <v>112</v>
      </c>
      <c r="E113" s="29">
        <f>E97</f>
        <v>219</v>
      </c>
      <c r="F113" s="76"/>
      <c r="G113" s="76"/>
      <c r="H113" s="76"/>
    </row>
    <row r="114" spans="1:8" s="60" customFormat="1" x14ac:dyDescent="0.4">
      <c r="A114" s="36" t="s">
        <v>125</v>
      </c>
      <c r="B114" s="37">
        <v>365</v>
      </c>
      <c r="C114" s="16"/>
      <c r="D114" s="28" t="s">
        <v>114</v>
      </c>
      <c r="E114" s="29">
        <f>+B107*E97*B94</f>
        <v>4248.9282966756682</v>
      </c>
      <c r="F114" s="76"/>
      <c r="G114" s="76"/>
      <c r="H114" s="76"/>
    </row>
    <row r="115" spans="1:8" s="60" customFormat="1" x14ac:dyDescent="0.4">
      <c r="A115" s="36" t="s">
        <v>126</v>
      </c>
      <c r="B115" s="37">
        <f>+B114*24</f>
        <v>8760</v>
      </c>
      <c r="C115" s="16"/>
      <c r="D115" s="30" t="s">
        <v>115</v>
      </c>
      <c r="E115" s="31">
        <f>+E114/1000</f>
        <v>4.2489282966756683</v>
      </c>
      <c r="F115" s="76"/>
      <c r="G115" s="76"/>
      <c r="H115" s="76"/>
    </row>
    <row r="116" spans="1:8" s="60" customFormat="1" x14ac:dyDescent="0.4">
      <c r="A116" s="28"/>
      <c r="B116" s="16"/>
      <c r="C116" s="16"/>
      <c r="D116" s="34" t="s">
        <v>117</v>
      </c>
      <c r="E116" s="35">
        <f>+B109*E97</f>
        <v>9.3476422526864713</v>
      </c>
      <c r="F116" s="76"/>
      <c r="G116" s="76"/>
      <c r="H116" s="76"/>
    </row>
    <row r="117" spans="1:8" s="60" customFormat="1" x14ac:dyDescent="0.4">
      <c r="A117" s="28" t="s">
        <v>127</v>
      </c>
      <c r="B117" s="41">
        <v>0</v>
      </c>
      <c r="C117" s="16"/>
      <c r="D117" s="38" t="s">
        <v>128</v>
      </c>
      <c r="E117" s="42"/>
      <c r="F117" s="76"/>
      <c r="G117" s="76"/>
      <c r="H117" s="76"/>
    </row>
    <row r="118" spans="1:8" s="60" customFormat="1" ht="15" thickBot="1" x14ac:dyDescent="0.45">
      <c r="A118" s="43" t="s">
        <v>129</v>
      </c>
      <c r="B118" s="44">
        <f>SUM(B117*B99)</f>
        <v>0</v>
      </c>
      <c r="C118" s="16"/>
      <c r="D118" s="28" t="s">
        <v>112</v>
      </c>
      <c r="E118" s="29">
        <f>E98</f>
        <v>0</v>
      </c>
      <c r="F118" s="76"/>
      <c r="G118" s="76"/>
      <c r="H118" s="76"/>
    </row>
    <row r="119" spans="1:8" s="60" customFormat="1" ht="15" thickTop="1" x14ac:dyDescent="0.4">
      <c r="A119" s="28"/>
      <c r="B119" s="41"/>
      <c r="C119" s="16"/>
      <c r="D119" s="28" t="s">
        <v>114</v>
      </c>
      <c r="E119" s="29">
        <f>+B107*E98*B94</f>
        <v>0</v>
      </c>
      <c r="F119" s="76"/>
      <c r="G119" s="76"/>
      <c r="H119" s="76"/>
    </row>
    <row r="120" spans="1:8" s="60" customFormat="1" x14ac:dyDescent="0.4">
      <c r="A120" s="28" t="s">
        <v>130</v>
      </c>
      <c r="B120" s="41">
        <v>0</v>
      </c>
      <c r="C120" s="16"/>
      <c r="D120" s="30" t="s">
        <v>115</v>
      </c>
      <c r="E120" s="31">
        <f>+E119/1000</f>
        <v>0</v>
      </c>
      <c r="F120" s="76"/>
      <c r="G120" s="76"/>
      <c r="H120" s="76"/>
    </row>
    <row r="121" spans="1:8" s="60" customFormat="1" ht="15" thickBot="1" x14ac:dyDescent="0.45">
      <c r="A121" s="43" t="s">
        <v>131</v>
      </c>
      <c r="B121" s="44">
        <f>SUM(B120*B99)</f>
        <v>0</v>
      </c>
      <c r="C121" s="16"/>
      <c r="D121" s="34" t="s">
        <v>117</v>
      </c>
      <c r="E121" s="35">
        <f>+B109*E98</f>
        <v>0</v>
      </c>
      <c r="F121" s="76"/>
      <c r="G121" s="76"/>
      <c r="H121" s="76"/>
    </row>
    <row r="122" spans="1:8" s="60" customFormat="1" ht="15" thickTop="1" x14ac:dyDescent="0.4">
      <c r="A122" s="28"/>
      <c r="B122" s="41"/>
      <c r="C122" s="16"/>
      <c r="D122" s="76"/>
      <c r="E122" s="76"/>
      <c r="F122" s="76"/>
      <c r="G122" s="76"/>
      <c r="H122" s="16"/>
    </row>
    <row r="123" spans="1:8" s="60" customFormat="1" x14ac:dyDescent="0.4">
      <c r="A123" s="28" t="s">
        <v>132</v>
      </c>
      <c r="B123" s="41">
        <f>+E106+E111+E116+E121</f>
        <v>65.433495768805301</v>
      </c>
      <c r="C123" s="16"/>
      <c r="D123" s="76"/>
      <c r="E123" s="76"/>
      <c r="F123" s="76"/>
      <c r="G123" s="76"/>
      <c r="H123" s="16"/>
    </row>
    <row r="124" spans="1:8" s="60" customFormat="1" ht="15" thickBot="1" x14ac:dyDescent="0.45">
      <c r="A124" s="43" t="s">
        <v>133</v>
      </c>
      <c r="B124" s="44">
        <f>+B123*B99</f>
        <v>13.08669915376106</v>
      </c>
      <c r="C124" s="16"/>
      <c r="D124" s="76"/>
      <c r="E124" s="76"/>
      <c r="F124" s="76"/>
      <c r="G124" s="76"/>
      <c r="H124" s="45" t="s">
        <v>134</v>
      </c>
    </row>
    <row r="125" spans="1:8" s="60" customFormat="1" ht="15" thickTop="1" x14ac:dyDescent="0.4">
      <c r="A125" s="28"/>
      <c r="B125" s="41"/>
      <c r="C125" s="16"/>
      <c r="D125" s="76"/>
      <c r="E125" s="76"/>
      <c r="F125" s="76"/>
      <c r="G125" s="76"/>
      <c r="H125" s="45" t="s">
        <v>135</v>
      </c>
    </row>
    <row r="126" spans="1:8" s="60" customFormat="1" x14ac:dyDescent="0.4">
      <c r="A126" s="28" t="s">
        <v>136</v>
      </c>
      <c r="B126" s="41">
        <f>B112</f>
        <v>0</v>
      </c>
      <c r="C126" s="16"/>
      <c r="D126" s="76"/>
      <c r="E126" s="76"/>
      <c r="F126" s="76"/>
      <c r="G126" s="76"/>
      <c r="H126" s="45"/>
    </row>
    <row r="127" spans="1:8" s="60" customFormat="1" ht="15" thickBot="1" x14ac:dyDescent="0.45">
      <c r="A127" s="43" t="s">
        <v>137</v>
      </c>
      <c r="B127" s="44">
        <f>+B126*B99</f>
        <v>0</v>
      </c>
      <c r="C127" s="16"/>
      <c r="D127" s="76"/>
      <c r="E127" s="76"/>
      <c r="F127" s="76"/>
      <c r="G127" s="76"/>
      <c r="H127" s="76"/>
    </row>
    <row r="128" spans="1:8" s="60" customFormat="1" ht="15" thickTop="1" x14ac:dyDescent="0.4">
      <c r="A128" s="28"/>
      <c r="B128" s="41"/>
      <c r="C128" s="16"/>
      <c r="D128" s="76"/>
      <c r="E128" s="76"/>
      <c r="F128" s="76"/>
      <c r="G128" s="76"/>
      <c r="H128" s="76"/>
    </row>
    <row r="129" spans="1:8" s="60" customFormat="1" x14ac:dyDescent="0.4">
      <c r="A129" s="28" t="s">
        <v>138</v>
      </c>
      <c r="B129" s="41">
        <f>+E105+E110+E115+E120</f>
        <v>29.742498076729674</v>
      </c>
      <c r="C129" s="16"/>
      <c r="D129" s="76"/>
      <c r="E129" s="76"/>
      <c r="F129" s="76"/>
      <c r="G129" s="76"/>
      <c r="H129" s="76"/>
    </row>
    <row r="130" spans="1:8" s="60" customFormat="1" x14ac:dyDescent="0.4">
      <c r="A130" s="28" t="s">
        <v>139</v>
      </c>
      <c r="B130" s="41"/>
      <c r="C130" s="16"/>
      <c r="D130" s="76"/>
      <c r="E130" s="76"/>
      <c r="F130" s="76"/>
      <c r="G130" s="76"/>
      <c r="H130" s="76"/>
    </row>
    <row r="131" spans="1:8" s="60" customFormat="1" x14ac:dyDescent="0.4">
      <c r="A131" s="46" t="s">
        <v>140</v>
      </c>
      <c r="B131" s="41">
        <v>0</v>
      </c>
      <c r="C131" s="16"/>
      <c r="D131" s="76"/>
      <c r="E131" s="76"/>
      <c r="F131" s="76"/>
      <c r="G131" s="76"/>
      <c r="H131" s="76"/>
    </row>
    <row r="132" spans="1:8" s="60" customFormat="1" x14ac:dyDescent="0.4">
      <c r="A132" s="28" t="s">
        <v>141</v>
      </c>
      <c r="B132" s="41"/>
      <c r="C132" s="16"/>
      <c r="D132" s="76"/>
      <c r="E132" s="76"/>
      <c r="F132" s="76"/>
      <c r="G132" s="76"/>
      <c r="H132" s="76"/>
    </row>
    <row r="133" spans="1:8" s="60" customFormat="1" x14ac:dyDescent="0.4">
      <c r="A133" s="46" t="s">
        <v>142</v>
      </c>
      <c r="B133" s="41">
        <v>0</v>
      </c>
      <c r="C133" s="16"/>
      <c r="D133" s="76"/>
      <c r="E133" s="76"/>
      <c r="F133" s="76"/>
      <c r="G133" s="76"/>
      <c r="H133" s="76"/>
    </row>
    <row r="134" spans="1:8" s="60" customFormat="1" ht="15" thickBot="1" x14ac:dyDescent="0.45">
      <c r="A134" s="43" t="s">
        <v>143</v>
      </c>
      <c r="B134" s="44">
        <f>B129*B100+B131*B101+B133*B101</f>
        <v>53.536496538113418</v>
      </c>
      <c r="C134" s="16"/>
      <c r="D134" s="76"/>
      <c r="E134" s="76"/>
      <c r="F134" s="76"/>
      <c r="G134" s="76"/>
      <c r="H134" s="76"/>
    </row>
    <row r="135" spans="1:8" s="60" customFormat="1" ht="15" thickTop="1" x14ac:dyDescent="0.4">
      <c r="A135" s="28"/>
      <c r="B135" s="41"/>
      <c r="C135" s="16"/>
      <c r="D135" s="76"/>
      <c r="E135" s="76"/>
      <c r="F135" s="76"/>
      <c r="G135" s="76"/>
      <c r="H135" s="76"/>
    </row>
    <row r="136" spans="1:8" s="60" customFormat="1" x14ac:dyDescent="0.4">
      <c r="A136" s="28" t="s">
        <v>144</v>
      </c>
      <c r="B136" s="41">
        <v>0</v>
      </c>
      <c r="C136" s="16"/>
      <c r="D136" s="76"/>
      <c r="E136" s="76"/>
      <c r="F136" s="76"/>
      <c r="G136" s="76"/>
      <c r="H136" s="76"/>
    </row>
    <row r="137" spans="1:8" s="60" customFormat="1" ht="15" thickBot="1" x14ac:dyDescent="0.45">
      <c r="A137" s="43" t="s">
        <v>145</v>
      </c>
      <c r="B137" s="44">
        <f>SUM(B136*B102)</f>
        <v>0</v>
      </c>
      <c r="C137" s="16"/>
      <c r="D137" s="76"/>
      <c r="E137" s="76"/>
      <c r="F137" s="76"/>
      <c r="G137" s="76"/>
      <c r="H137" s="76"/>
    </row>
    <row r="138" spans="1:8" s="60" customFormat="1" ht="15" thickTop="1" x14ac:dyDescent="0.4">
      <c r="A138" s="28"/>
      <c r="B138" s="41"/>
      <c r="C138" s="16"/>
      <c r="D138" s="76"/>
      <c r="E138" s="76"/>
      <c r="F138" s="76"/>
      <c r="G138" s="76"/>
      <c r="H138" s="76"/>
    </row>
    <row r="139" spans="1:8" s="60" customFormat="1" x14ac:dyDescent="0.4">
      <c r="A139" s="30"/>
      <c r="B139" s="47"/>
      <c r="C139" s="16"/>
      <c r="D139" s="76"/>
      <c r="E139" s="76"/>
      <c r="F139" s="76"/>
      <c r="G139" s="76"/>
      <c r="H139" s="76"/>
    </row>
    <row r="140" spans="1:8" s="60" customFormat="1" x14ac:dyDescent="0.4">
      <c r="A140" s="28"/>
      <c r="B140" s="41"/>
      <c r="C140" s="16"/>
      <c r="D140" s="76"/>
      <c r="E140" s="76"/>
      <c r="F140" s="76"/>
      <c r="G140" s="76"/>
      <c r="H140" s="76"/>
    </row>
    <row r="141" spans="1:8" s="60" customFormat="1" ht="15.9" thickBot="1" x14ac:dyDescent="0.45">
      <c r="A141" s="48" t="s">
        <v>143</v>
      </c>
      <c r="B141" s="49">
        <f>B134</f>
        <v>53.536496538113418</v>
      </c>
      <c r="C141" s="16"/>
      <c r="D141" s="76"/>
      <c r="E141" s="76"/>
      <c r="F141" s="76"/>
      <c r="G141" s="76"/>
      <c r="H141" s="76"/>
    </row>
    <row r="142" spans="1:8" s="60" customFormat="1" ht="15.9" thickTop="1" x14ac:dyDescent="0.4">
      <c r="A142" s="50"/>
      <c r="B142" s="51"/>
      <c r="C142" s="16"/>
      <c r="D142" s="76"/>
      <c r="E142" s="76"/>
      <c r="F142" s="76"/>
      <c r="G142" s="76"/>
      <c r="H142" s="76"/>
    </row>
    <row r="143" spans="1:8" s="60" customFormat="1" ht="15.9" thickBot="1" x14ac:dyDescent="0.45">
      <c r="A143" s="48" t="s">
        <v>146</v>
      </c>
      <c r="B143" s="49">
        <f>SUM(B118+B121+B124+B127)</f>
        <v>13.08669915376106</v>
      </c>
      <c r="C143" s="16"/>
      <c r="D143" s="76"/>
      <c r="E143" s="76"/>
      <c r="F143" s="76"/>
      <c r="G143" s="76"/>
      <c r="H143" s="76"/>
    </row>
    <row r="144" spans="1:8" s="60" customFormat="1" ht="15" thickTop="1" x14ac:dyDescent="0.4">
      <c r="A144" s="28"/>
      <c r="B144" s="16"/>
      <c r="C144" s="16"/>
      <c r="D144" s="76"/>
      <c r="E144" s="76"/>
      <c r="F144" s="76"/>
      <c r="G144" s="76"/>
      <c r="H144" s="76"/>
    </row>
    <row r="145" spans="1:8" s="60" customFormat="1" ht="15.45" x14ac:dyDescent="0.4">
      <c r="A145" s="52" t="s">
        <v>147</v>
      </c>
      <c r="B145" s="53">
        <f>B137+B141+B143</f>
        <v>66.623195691874486</v>
      </c>
      <c r="C145" s="54"/>
      <c r="D145" s="76"/>
      <c r="E145" s="76"/>
      <c r="F145" s="76"/>
      <c r="G145" s="76"/>
      <c r="H145" s="76"/>
    </row>
  </sheetData>
  <sheetProtection algorithmName="SHA-512" hashValue="b/0xPiIgbeJxiSYzfZisJnMsamY59xSOlZJkjZrSbfv5YlblomqsOWxqIWsa5XPyKWwpz3aff6gpJvrfQTgaEg==" saltValue="82Y9MRZTf5+rSuA/YMnyhA==" spinCount="100000" sheet="1" objects="1" scenarios="1"/>
  <pageMargins left="0.7" right="0.7" top="0.78740157499999996" bottom="0.78740157499999996" header="0.3" footer="0.3"/>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vt:lpstr>
      <vt:lpstr>Do not change this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HUMER</dc:creator>
  <cp:lastModifiedBy>MELANIE HUMER</cp:lastModifiedBy>
  <cp:lastPrinted>2026-04-03T07:25:06Z</cp:lastPrinted>
  <dcterms:created xsi:type="dcterms:W3CDTF">2017-09-13T12:43:08Z</dcterms:created>
  <dcterms:modified xsi:type="dcterms:W3CDTF">2026-04-03T07:34:52Z</dcterms:modified>
</cp:coreProperties>
</file>